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2NKx2cE/5BXcgRlB5UQmY6Zf0N18eWGzaxqCxpcV7PoTtKzvLwU4JBMP3N+dC7ATOHN0oWW4MZiEbKANwKovUQ==" workbookSaltValue="vBg9Xdq2ZmTgcQHDy6jSm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W38" i="83" s="1"/>
  <c r="AD336" i="83"/>
  <c r="W336" i="83"/>
  <c r="V336" i="83"/>
  <c r="O336" i="83"/>
  <c r="N336" i="83"/>
  <c r="AM308" i="83"/>
  <c r="AL308" i="83"/>
  <c r="AE308" i="83"/>
  <c r="W37" i="83" s="1"/>
  <c r="AD308" i="83"/>
  <c r="W308" i="83"/>
  <c r="V308" i="83"/>
  <c r="O308" i="83"/>
  <c r="N308" i="83"/>
  <c r="AM280" i="83"/>
  <c r="AL280" i="83"/>
  <c r="AE280" i="83"/>
  <c r="W36" i="83" s="1"/>
  <c r="AD280" i="83"/>
  <c r="W280" i="83"/>
  <c r="V280" i="83"/>
  <c r="O280" i="83"/>
  <c r="N280" i="83"/>
  <c r="AM252" i="83"/>
  <c r="AL252" i="83"/>
  <c r="AE252" i="83"/>
  <c r="W35" i="83" s="1"/>
  <c r="AD252" i="83"/>
  <c r="W252" i="83"/>
  <c r="V252" i="83"/>
  <c r="O252" i="83"/>
  <c r="N252" i="83"/>
  <c r="AM224" i="83"/>
  <c r="AL224" i="83"/>
  <c r="AE224" i="83"/>
  <c r="W34" i="83" s="1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W32" i="83" s="1"/>
  <c r="AD168" i="83"/>
  <c r="W168" i="83"/>
  <c r="V168" i="83"/>
  <c r="O168" i="83"/>
  <c r="N168" i="83"/>
  <c r="AM140" i="83"/>
  <c r="AL140" i="83"/>
  <c r="AE140" i="83"/>
  <c r="W31" i="83" s="1"/>
  <c r="AD140" i="83"/>
  <c r="W140" i="83"/>
  <c r="V140" i="83"/>
  <c r="O140" i="83"/>
  <c r="N140" i="83"/>
  <c r="AM112" i="83"/>
  <c r="AL112" i="83"/>
  <c r="AE112" i="83"/>
  <c r="W30" i="83" s="1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1" i="83" l="1"/>
  <c r="I34" i="83"/>
  <c r="I35" i="83"/>
  <c r="I36" i="83"/>
  <c r="I37" i="83"/>
  <c r="I38" i="83"/>
  <c r="I32" i="83"/>
  <c r="I33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H195" i="83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Z133" i="83"/>
  <c r="AA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R307" i="83"/>
  <c r="S279" i="83"/>
  <c r="AC245" i="83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245" i="83"/>
  <c r="AH245" i="83"/>
  <c r="AG245" i="83"/>
  <c r="AI245" i="83"/>
  <c r="AK328" i="83"/>
  <c r="AG328" i="83"/>
  <c r="AI328" i="83"/>
  <c r="AH328" i="83"/>
  <c r="AH243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90" i="83"/>
  <c r="AI190" i="83"/>
  <c r="AG190" i="83"/>
  <c r="AH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H158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I247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334" i="83" l="1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L41" i="83" l="1"/>
  <c r="AO302" i="83"/>
  <c r="S226" i="83"/>
  <c r="O34" i="83" s="1"/>
  <c r="AP302" i="83"/>
  <c r="L43" i="83"/>
  <c r="AP272" i="83"/>
  <c r="AO107" i="83"/>
  <c r="AQ107" i="83"/>
  <c r="AK222" i="83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O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G308" i="83" s="1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G280" i="83" l="1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<sst xmlns="http://schemas.openxmlformats.org/spreadsheetml/2006/main" count="65830" uniqueCount="758">
  <si>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</si>
  <si>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</si>
  <si>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</si>
  <si>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</si>
  <si>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</si>
  <si>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</si>
  <si>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</si>
  <si>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</si>
  <si>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</si>
  <si>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</si>
  <si>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</si>
  <si>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</si>
  <si>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</si>
  <si>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</si>
  <si>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</si>
  <si>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</si>
  <si>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</si>
  <si>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</si>
  <si>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</si>
  <si>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</si>
  <si>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</si>
  <si>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</si>
  <si>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</si>
  <si>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</si>
  <si>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</si>
  <si>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</si>
  <si>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</si>
  <si>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</si>
  <si>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</si>
  <si>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</si>
  <si>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</si>
  <si>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</si>
  <si>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</si>
  <si>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</si>
  <si>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</si>
  <si>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</si>
  <si>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</si>
  <si>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</si>
  <si>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</si>
  <si>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</si>
  <si>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</si>
  <si>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</si>
  <si>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</si>
  <si>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</si>
  <si>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</si>
  <si>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</si>
  <si>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</si>
  <si>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</si>
  <si>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</si>
  <si>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</si>
  <si>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</si>
  <si>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</si>
  <si>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</si>
  <si>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</si>
  <si>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</si>
  <si>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</si>
  <si>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</si>
  <si>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</si>
  <si>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</si>
  <si>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</si>
  <si>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</si>
  <si>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</si>
  <si>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</si>
  <si>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</si>
  <si>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</si>
  <si>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</si>
  <si>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</si>
  <si>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</si>
  <si>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</si>
  <si>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</si>
  <si>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</si>
  <si>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</si>
  <si>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</si>
  <si>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</si>
  <si>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</si>
  <si>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</si>
  <si>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</si>
  <si>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</si>
  <si>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</si>
  <si>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</si>
  <si>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</si>
  <si>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</si>
  <si>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</si>
  <si>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</si>
  <si>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</si>
  <si>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</si>
  <si>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</si>
  <si>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</si>
  <si>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</si>
  <si>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</si>
  <si>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</si>
  <si>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</si>
  <si>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</si>
  <si>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</si>
  <si>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</si>
  <si>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</si>
  <si>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</si>
  <si>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</si>
  <si>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</si>
  <si>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</si>
  <si>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</si>
  <si>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</si>
  <si>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</si>
  <si>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</si>
  <si>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</si>
  <si>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</si>
  <si>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</si>
  <si>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</si>
  <si>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</si>
  <si>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</si>
  <si>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</si>
  <si>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</si>
  <si>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</si>
  <si>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</si>
  <si>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</si>
  <si>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</si>
  <si>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</si>
  <si>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</si>
  <si>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</si>
  <si>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</si>
  <si>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</si>
  <si>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</si>
  <si>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</si>
  <si>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</si>
  <si>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</si>
  <si>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</si>
  <si>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</si>
  <si>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</si>
  <si>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</si>
  <si>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</si>
  <si>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</si>
  <si>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</si>
  <si>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</si>
  <si>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</si>
  <si>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</si>
  <si>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</si>
  <si>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</si>
  <si>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</si>
  <si>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</si>
  <si>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</si>
  <si>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</si>
  <si>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</si>
  <si>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</si>
  <si>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</si>
  <si>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</si>
  <si>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</si>
  <si>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</si>
  <si>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</si>
  <si>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</si>
  <si>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</si>
  <si>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</si>
  <si>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</si>
  <si>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</si>
  <si>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</si>
  <si>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</si>
  <si>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</si>
  <si>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</si>
  <si>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</si>
  <si>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</si>
  <si>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</si>
  <si>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</si>
  <si>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</si>
  <si>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</si>
  <si>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</si>
  <si>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</si>
  <si>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</si>
  <si>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</si>
  <si>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</si>
  <si>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</si>
  <si>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</si>
  <si>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</si>
  <si>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</si>
  <si>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</si>
  <si>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</si>
  <si>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</si>
  <si>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</si>
  <si>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</si>
  <si>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</si>
  <si>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</si>
  <si>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</si>
  <si>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</si>
  <si>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</si>
  <si>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</si>
  <si>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</si>
  <si>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</si>
  <si>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</si>
  <si>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</si>
  <si>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</si>
  <si>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</si>
  <si>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</si>
  <si>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</si>
  <si>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</si>
  <si>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</si>
  <si>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</si>
  <si>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</si>
  <si>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</si>
  <si>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</si>
  <si>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</si>
  <si>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</si>
  <si>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</si>
  <si>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</si>
  <si>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</si>
  <si>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</si>
  <si>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</si>
  <si>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</si>
  <si>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</si>
  <si>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</si>
  <si>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</si>
  <si>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</si>
  <si>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</si>
  <si>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</si>
  <si>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</si>
  <si>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</si>
  <si>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</si>
  <si>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</si>
  <si>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</si>
  <si>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</si>
  <si>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</si>
  <si>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</si>
  <si>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</si>
  <si>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</si>
  <si>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</si>
  <si>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</si>
  <si>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</si>
  <si>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</si>
  <si>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</si>
  <si>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</si>
  <si>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</si>
  <si>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</si>
  <si>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</si>
  <si>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</si>
  <si>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</si>
  <si>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</si>
  <si>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</si>
  <si>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</si>
  <si>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</si>
  <si>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</si>
  <si>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</si>
  <si>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</si>
  <si>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</si>
  <si>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</si>
  <si>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</si>
  <si>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</si>
  <si>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</si>
  <si>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</si>
  <si>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</si>
  <si>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</si>
  <si>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</si>
  <si>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</si>
  <si>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</si>
  <si>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</si>
  <si>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</si>
  <si>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</si>
  <si>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</si>
  <si>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</si>
  <si>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</si>
  <si>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</si>
  <si>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</si>
  <si>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</si>
  <si>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</si>
  <si>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</si>
  <si>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</si>
  <si>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</si>
  <si>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</si>
  <si>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</si>
  <si>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</si>
  <si>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</si>
  <si>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</si>
  <si>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</si>
  <si>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</si>
  <si>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</si>
  <si>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</si>
  <si>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</si>
  <si>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</si>
  <si>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</si>
  <si>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</si>
  <si>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</si>
  <si>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</si>
  <si>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</si>
  <si>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</si>
  <si>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</si>
  <si>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</si>
  <si>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</si>
  <si>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</si>
  <si>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</si>
  <si>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</si>
  <si>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</si>
  <si>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</si>
  <si>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</si>
  <si>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</si>
  <si>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</si>
  <si>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</si>
  <si>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</si>
  <si>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</si>
  <si>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</si>
  <si>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</si>
  <si>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</si>
  <si>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</si>
  <si>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</si>
  <si>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</si>
  <si>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</si>
  <si>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</si>
  <si>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</si>
  <si>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</si>
  <si>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</si>
  <si>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</si>
  <si>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</si>
  <si>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</si>
  <si>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</si>
  <si>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</si>
  <si>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</si>
  <si>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</si>
  <si>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</si>
  <si>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</si>
  <si>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</si>
  <si>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</si>
  <si>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</si>
  <si>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</si>
  <si>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</si>
  <si>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</si>
  <si>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</si>
  <si>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</si>
  <si>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</si>
  <si>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</si>
  <si>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</si>
  <si>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</si>
  <si>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</si>
  <si>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</si>
  <si>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</si>
  <si>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</si>
  <si>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</si>
  <si>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</si>
  <si>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</si>
  <si>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</si>
  <si>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</si>
  <si>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</si>
  <si>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</si>
  <si>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</si>
  <si>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</si>
  <si>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</si>
  <si>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</si>
  <si>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</si>
  <si>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</si>
  <si>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</si>
  <si>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</si>
  <si>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</si>
  <si>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</si>
  <si>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</si>
  <si>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</si>
  <si>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</si>
  <si>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</si>
  <si>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</si>
  <si>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</si>
  <si>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</si>
  <si>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</si>
  <si>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</si>
  <si>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</si>
  <si>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</si>
  <si>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</si>
  <si>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</si>
  <si>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</si>
  <si>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</si>
  <si>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</si>
  <si>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</si>
  <si>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</si>
  <si>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</si>
  <si>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</si>
  <si>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</si>
  <si>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</si>
  <si>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</si>
  <si>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</si>
  <si>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</si>
  <si>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</si>
  <si>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</si>
  <si>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</si>
  <si>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</si>
  <si>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</si>
  <si>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</si>
  <si>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</si>
  <si>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</si>
  <si>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</si>
  <si>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</si>
  <si>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</si>
  <si>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</si>
  <si>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</si>
  <si>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</si>
  <si>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</si>
  <si>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</si>
  <si>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</si>
  <si>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</si>
  <si>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</si>
  <si>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</si>
  <si>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</si>
  <si>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</si>
  <si>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</si>
  <si>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</si>
  <si>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</si>
  <si>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</si>
  <si>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</si>
  <si>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</si>
  <si>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</si>
  <si>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</si>
  <si>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</si>
  <si>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</si>
  <si>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</si>
  <si>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</si>
  <si>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</si>
  <si>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</si>
  <si>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</si>
  <si>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</si>
  <si>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</si>
  <si>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</si>
  <si>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</si>
  <si>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</si>
  <si>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</si>
  <si>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</si>
  <si>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</si>
  <si>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</si>
  <si>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</si>
  <si>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</si>
  <si>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</si>
  <si>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</si>
  <si>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</si>
  <si>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</si>
  <si>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</si>
  <si>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</si>
  <si>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</si>
  <si>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</si>
  <si>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</si>
  <si>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</si>
  <si>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</si>
  <si>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</si>
  <si>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</si>
  <si>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</si>
  <si>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</si>
  <si>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</si>
  <si>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</si>
  <si>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</si>
  <si>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</si>
  <si>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</si>
  <si>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</si>
  <si>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</si>
  <si>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</si>
  <si>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</si>
  <si>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</si>
  <si>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</si>
  <si>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</si>
  <si>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</si>
  <si>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</si>
  <si>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</si>
  <si>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</si>
  <si>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</si>
  <si>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</si>
  <si>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</si>
  <si>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</si>
  <si>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</si>
  <si>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</si>
  <si>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</si>
  <si>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</si>
  <si>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</si>
  <si>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</si>
  <si>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</si>
  <si>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</si>
  <si>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</si>
  <si>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</si>
  <si>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</si>
  <si>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</si>
  <si>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</si>
  <si>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</si>
  <si>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</si>
  <si>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</si>
  <si>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</si>
  <si>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</si>
  <si>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</si>
  <si>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</si>
  <si>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</si>
  <si>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</si>
  <si>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</si>
  <si>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</si>
  <si>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</si>
  <si>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</si>
  <si>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</si>
  <si>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</si>
  <si>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</si>
  <si>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</si>
  <si>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</si>
  <si>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</si>
  <si>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</si>
  <si>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</si>
  <si>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</si>
  <si>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</si>
  <si>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</si>
  <si>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</si>
  <si>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</si>
  <si>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</si>
  <si>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</si>
  <si>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</si>
  <si>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</si>
  <si>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</si>
  <si>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</si>
  <si>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</si>
  <si>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</si>
  <si>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</si>
  <si>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</si>
  <si>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</si>
  <si>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</si>
  <si>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</si>
  <si>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</si>
  <si>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</si>
  <si>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</si>
  <si>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</si>
  <si>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</si>
  <si>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</si>
  <si>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</si>
  <si>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</si>
  <si>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</si>
  <si>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</si>
  <si>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</si>
  <si>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</si>
  <si>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</si>
  <si>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</si>
  <si>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</si>
  <si>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</si>
  <si>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</si>
  <si>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</si>
  <si>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</si>
  <si>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</si>
  <si>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</si>
  <si>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</si>
  <si>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</si>
  <si>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</si>
  <si>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</si>
  <si>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</si>
  <si>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</si>
  <si>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</si>
  <si>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</si>
  <si>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</si>
  <si>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</si>
  <si>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</si>
  <si>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</si>
  <si>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</si>
  <si>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</si>
  <si>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</si>
  <si>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</si>
  <si>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</si>
  <si>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</si>
  <si>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</si>
  <si>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</si>
  <si>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</si>
  <si>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</si>
  <si>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</si>
  <si>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</si>
  <si>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</si>
  <si>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</si>
  <si>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</si>
  <si>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</si>
  <si>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</si>
  <si>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</si>
  <si>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</si>
  <si>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</si>
  <si>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</si>
  <si>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</si>
  <si>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</si>
  <si>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</si>
  <si>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</si>
  <si>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</si>
  <si>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</si>
  <si>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</si>
  <si>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</si>
  <si>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</si>
  <si>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</si>
  <si>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</si>
  <si>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</si>
  <si>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</si>
  <si>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</si>
  <si>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</si>
  <si>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</si>
  <si>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</si>
  <si>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</si>
  <si>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</si>
  <si>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</si>
  <si>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</si>
  <si>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</si>
  <si>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</si>
  <si>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</si>
  <si>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</si>
  <si>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</si>
  <si>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</si>
  <si>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</si>
  <si>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</si>
  <si>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</si>
  <si>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</si>
  <si>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</si>
  <si>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</si>
  <si>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</si>
  <si>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</si>
  <si>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</si>
  <si>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</si>
  <si>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</si>
  <si>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</si>
  <si>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</si>
  <si>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</si>
  <si>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</si>
  <si>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</si>
  <si>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</si>
  <si>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</si>
  <si>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</si>
  <si>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</si>
  <si>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</si>
  <si>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</si>
  <si>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</si>
  <si>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</si>
  <si>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</si>
  <si>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</si>
  <si>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</si>
  <si>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</si>
  <si>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</si>
  <si>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</si>
  <si>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</si>
  <si>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</si>
  <si>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</si>
  <si>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</si>
  <si>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</si>
  <si>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</si>
  <si>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</si>
  <si>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</si>
  <si>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</si>
  <si>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</si>
  <si>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</si>
  <si>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</si>
  <si>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</si>
  <si>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</si>
  <si>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</si>
  <si>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</si>
  <si>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</si>
  <si>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</si>
  <si>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</si>
  <si>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</si>
  <si>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</si>
  <si>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</si>
  <si>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</si>
  <si>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</si>
  <si>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</si>
  <si>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</si>
  <si>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</si>
  <si>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</si>
  <si>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</si>
  <si>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</si>
  <si>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</si>
  <si>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</si>
  <si>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</si>
  <si>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</si>
  <si>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</si>
  <si>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</si>
  <si>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</si>
  <si>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</si>
  <si>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</si>
  <si>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</si>
  <si>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</si>
  <si>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</si>
  <si>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</si>
  <si>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</si>
  <si>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</si>
  <si>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</si>
  <si>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</si>
  <si>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</si>
  <si>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</si>
  <si>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</si>
  <si>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</si>
  <si>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</si>
  <si>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</si>
  <si>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</si>
  <si>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</si>
  <si>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</si>
  <si>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</si>
  <si>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</si>
  <si>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</si>
  <si>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</si>
  <si>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</si>
  <si>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</si>
  <si>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</si>
  <si>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</si>
  <si>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</si>
  <si>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</si>
  <si>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</si>
  <si>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</si>
  <si>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</si>
  <si>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</si>
  <si>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</si>
  <si>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</si>
  <si>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</si>
  <si>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</si>
  <si>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</si>
  <si>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</si>
  <si>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</si>
  <si>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</si>
  <si>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</si>
  <si>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</si>
  <si>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</si>
  <si>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</si>
  <si>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</si>
  <si>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</si>
  <si>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</si>
  <si>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</si>
  <si>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</si>
  <si>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</si>
  <si>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</si>
  <si>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</si>
  <si>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</si>
  <si>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</si>
  <si>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</si>
  <si>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</si>
  <si>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</si>
  <si>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</si>
  <si>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</si>
  <si>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</si>
  <si>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</si>
  <si>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</si>
  <si>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</si>
  <si>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</si>
  <si>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</si>
  <si>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</si>
  <si>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</si>
  <si>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</si>
  <si>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</si>
  <si>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</si>
  <si>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</si>
  <si>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</si>
  <si>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</si>
  <si>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</si>
  <si>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</si>
  <si>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</si>
  <si>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</si>
  <si>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</si>
  <si>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</si>
  <si>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</si>
  <si>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</si>
  <si>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</si>
  <si>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</si>
  <si>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</si>
  <si>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</si>
  <si>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</si>
  <si>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</si>
  <si>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</si>
  <si>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</si>
  <si>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</si>
  <si>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</si>
  <si>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</si>
  <si>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</si>
  <si>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</si>
  <si>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</si>
  <si>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</si>
  <si>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</si>
  <si>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</si>
  <si>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</si>
  <si>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POB</t>
  </si>
  <si>
    <t>Locally Recruiteed Personnel</t>
  </si>
  <si>
    <t>Foreign Service Dispensation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</si>
</sst>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6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1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25</v>
      </c>
      <c r="AC3" s="2">
        <f>SUMIFS(PERSALDATA!$H$2:$H$20871,PERSALDATA!$A$2:$A$20871,WORKING!A3,PERSALDATA!$D$2:$D$20871,WORKING!B3,PERSALDATA!$E$2:$E$20871,WORKING!C3)</f>
        <v>1711982.45</v>
      </c>
    </row>
    <row r="4" spans="1:29" x14ac:dyDescent="0.25">
      <c r="A4" s="2">
        <f>Results!$D$3</f>
        <v>6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0.48177952227200571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3.6203962533506148E-2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6.2171784786149785E-2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0.11909350774591358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6.2630227684918147E-2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4.0273500589250365E-4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0.23771825997161414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7.2942253464695406E-2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7.1164684768327213E-2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7.0164684768327212E-2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6.8164684768327211E-2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1.227497958693066E-2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202664.28</v>
      </c>
    </row>
    <row r="5" spans="1:29" x14ac:dyDescent="0.25">
      <c r="A5" s="2">
        <f>Results!$D$3</f>
        <v>6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6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0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0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0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0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0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1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7.5999999999999998E-2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7.0000000000000007E-2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6.9000000000000006E-2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6.7000000000000004E-2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1.4999999999999999E-2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192</v>
      </c>
    </row>
    <row r="7" spans="1:29" x14ac:dyDescent="0.25">
      <c r="A7" s="2">
        <f>Results!$D$3</f>
        <v>6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0.5416255643925344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3.7328333152558721E-2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3.9882419122064396E-2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0.26559600729666299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4.1212876642658415E-2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5.7737480630977417E-2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8.2973589978979688E-4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2.2773743705371607E-4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4.9616626922046529E-4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9.5033117589540649E-3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2.0653852263172482E-4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1.2830218229360894E-3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4.070807051957768E-3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7.3545916419720331E-2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7.0219368958419223E-2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6.9219368958419222E-2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6.7219368958419221E-2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1.3780154501973353E-2</v>
      </c>
      <c r="AB7" s="2">
        <f>SUMIFS(PERSALDATA!$G$2:$G$20871,PERSALDATA!$A$2:$A$20871,WORKING!A7,PERSALDATA!$D$2:$D$20871,WORKING!B7,PERSALDATA!$E$2:$E$20871,WORKING!C7,PERSALDATA!$F$2:$F$20871,"S&amp;W: BASIC SALARY (RES)")</f>
        <v>171</v>
      </c>
      <c r="AC7" s="2">
        <f>SUMIFS(PERSALDATA!$H$2:$H$20871,PERSALDATA!$A$2:$A$20871,WORKING!A7,PERSALDATA!$D$2:$D$20871,WORKING!B7,PERSALDATA!$E$2:$E$20871,WORKING!C7)</f>
        <v>41138427.309999995</v>
      </c>
    </row>
    <row r="8" spans="1:29" x14ac:dyDescent="0.25">
      <c r="A8" s="2">
        <f>Results!$D$3</f>
        <v>6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0.68673853000551055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5.650500067429183E-2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5.3116833996604641E-2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4.8793870505716638E-2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5.2463360329342332E-2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8.9427028674178094E-2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4.1018067444383967E-3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2.9294724139043184E-4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5.328241494518428E-3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4.7582825976585219E-4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2.7565520742429575E-3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7.2697607660868871E-2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7.0255782064974126E-2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6.9255782064974111E-2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6.7255782064974096E-2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1.3411902876489941E-2</v>
      </c>
      <c r="AB8" s="2">
        <f>SUMIFS(PERSALDATA!$G$2:$G$20871,PERSALDATA!$A$2:$A$20871,WORKING!A8,PERSALDATA!$D$2:$D$20871,WORKING!B8,PERSALDATA!$E$2:$E$20871,WORKING!C8,PERSALDATA!$F$2:$F$20871,"S&amp;W: BASIC SALARY (RES)")</f>
        <v>78</v>
      </c>
      <c r="AC8" s="2">
        <f>SUMIFS(PERSALDATA!$H$2:$H$20871,PERSALDATA!$A$2:$A$20871,WORKING!A8,PERSALDATA!$D$2:$D$20871,WORKING!B8,PERSALDATA!$E$2:$E$20871,WORKING!C8)</f>
        <v>18666398.68</v>
      </c>
    </row>
    <row r="9" spans="1:29" x14ac:dyDescent="0.25">
      <c r="A9" s="2">
        <f>Results!$D$3</f>
        <v>6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0.64891740325145852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5.4663475941936157E-2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3.7002470379443694E-2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0.11253525120024237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4.7548131695457643E-2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8.4500630910315927E-2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2.3827827506301413E-3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2.1985011669928254E-4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9.9525073194983542E-3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9.1938072013938689E-5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4.3386923024451337E-4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1.75168913205955E-3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7.3853486094898696E-2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7.0343197271637459E-2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6.9343197271637416E-2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6.7343197271637428E-2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1.3728443217125992E-2</v>
      </c>
      <c r="AB9" s="2">
        <f>SUMIFS(PERSALDATA!$G$2:$G$20871,PERSALDATA!$A$2:$A$20871,WORKING!A9,PERSALDATA!$D$2:$D$20871,WORKING!B9,PERSALDATA!$E$2:$E$20871,WORKING!C9,PERSALDATA!$F$2:$F$20871,"S&amp;W: BASIC SALARY (RES)")</f>
        <v>125</v>
      </c>
      <c r="AC9" s="2">
        <f>SUMIFS(PERSALDATA!$H$2:$H$20871,PERSALDATA!$A$2:$A$20871,WORKING!A9,PERSALDATA!$D$2:$D$20871,WORKING!B9,PERSALDATA!$E$2:$E$20871,WORKING!C9)</f>
        <v>40943212.289999999</v>
      </c>
    </row>
    <row r="10" spans="1:29" x14ac:dyDescent="0.25">
      <c r="A10" s="2">
        <f>Results!$D$3</f>
        <v>6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0.73058862443155159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6.3035960019485679E-2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2.83441861409E-2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1.1407380034411772E-2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4.385731316893738E-2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9.5029409002568385E-2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3.8520050677695135E-3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1.7606108833310091E-4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1.0660830879779594E-2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4.9215798879390397E-4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1.4888100847693512E-3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1.1067262092699981E-2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7.4459844237656739E-2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7.0374417836125081E-2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6.937441783612508E-2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6.7374417836125078E-2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1.3914336594027446E-2</v>
      </c>
      <c r="AB10" s="2">
        <f>SUMIFS(PERSALDATA!$G$2:$G$20871,PERSALDATA!$A$2:$A$20871,WORKING!A10,PERSALDATA!$D$2:$D$20871,WORKING!B10,PERSALDATA!$E$2:$E$20871,WORKING!C10,PERSALDATA!$F$2:$F$20871,"S&amp;W: BASIC SALARY (RES)")</f>
        <v>94</v>
      </c>
      <c r="AC10" s="2">
        <f>SUMIFS(PERSALDATA!$H$2:$H$20871,PERSALDATA!$A$2:$A$20871,WORKING!A10,PERSALDATA!$D$2:$D$20871,WORKING!B10,PERSALDATA!$E$2:$E$20871,WORKING!C10)</f>
        <v>35795700.569999993</v>
      </c>
    </row>
    <row r="11" spans="1:29" x14ac:dyDescent="0.25">
      <c r="A11" s="2">
        <f>Results!$D$3</f>
        <v>6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0.74709075661011104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5.5391630412894716E-2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2.324628680522842E-2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5.0816982562833434E-3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3.889624979024435E-2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8.844968596860979E-2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3.788660451610457E-3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1.7881883259827445E-4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2.4724889016795745E-2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8.0972628514311903E-3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5.0540610041926821E-3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7.4777829699866058E-2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7.0350980878801386E-2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6.9350980878801385E-2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6.7350980878801398E-2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1.4065179668578934E-2</v>
      </c>
      <c r="AB11" s="2">
        <f>SUMIFS(PERSALDATA!$G$2:$G$20871,PERSALDATA!$A$2:$A$20871,WORKING!A11,PERSALDATA!$D$2:$D$20871,WORKING!B11,PERSALDATA!$E$2:$E$20871,WORKING!C11,PERSALDATA!$F$2:$F$20871,"S&amp;W: BASIC SALARY (RES)")</f>
        <v>15</v>
      </c>
      <c r="AC11" s="2">
        <f>SUMIFS(PERSALDATA!$H$2:$H$20871,PERSALDATA!$A$2:$A$20871,WORKING!A11,PERSALDATA!$D$2:$D$20871,WORKING!B11,PERSALDATA!$E$2:$E$20871,WORKING!C11)</f>
        <v>4336176.3899999997</v>
      </c>
    </row>
    <row r="12" spans="1:29" x14ac:dyDescent="0.25">
      <c r="A12" s="2">
        <f>Results!$D$3</f>
        <v>6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0.74773154704355038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6.0461958504261046E-2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2.0034939726050929E-2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1.2939795643925639E-2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3.2870204945164717E-2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9.5862416982160192E-2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5.1534757864001501E-3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1.3328698643425547E-4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6.5192934031752079E-4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4.1427338480126766E-3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7.8098890937825325E-3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1.3350770367954472E-3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1.3203315974613711E-3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9.5524134656832516E-3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7.493752745005243E-2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7.0292703676916979E-2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6.9292703676916964E-2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6.7292703676916976E-2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1.4204423525135254E-2</v>
      </c>
      <c r="AB12" s="2">
        <f>SUMIFS(PERSALDATA!$G$2:$G$20871,PERSALDATA!$A$2:$A$20871,WORKING!A12,PERSALDATA!$D$2:$D$20871,WORKING!B12,PERSALDATA!$E$2:$E$20871,WORKING!C12,PERSALDATA!$F$2:$F$20871,"S&amp;W: BASIC SALARY (RES)")</f>
        <v>208</v>
      </c>
      <c r="AC12" s="2">
        <f>SUMIFS(PERSALDATA!$H$2:$H$20871,PERSALDATA!$A$2:$A$20871,WORKING!A12,PERSALDATA!$D$2:$D$20871,WORKING!B12,PERSALDATA!$E$2:$E$20871,WORKING!C12)</f>
        <v>104232906.54000001</v>
      </c>
    </row>
    <row r="13" spans="1:29" x14ac:dyDescent="0.25">
      <c r="A13" s="2">
        <f>Results!$D$3</f>
        <v>6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0.67565776640490749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3.8306549631995881E-2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-5.472338348113257E-4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1.5187942444255795E-2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2.2325316347519386E-2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7.5483080852309398E-2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7.5482638200940798E-3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1.0827568655576889E-4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0.13328550590688754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3.0250451597121707E-2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2.3940811431641842E-3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1.4671704627011041E-2</v>
      </c>
      <c r="AB13" s="2">
        <f>SUMIFS(PERSALDATA!$G$2:$G$20871,PERSALDATA!$A$2:$A$20871,WORKING!A13,PERSALDATA!$D$2:$D$20871,WORKING!B13,PERSALDATA!$E$2:$E$20871,WORKING!C13,PERSALDATA!$F$2:$F$20871,"S&amp;W: BASIC SALARY (RES)")</f>
        <v>14</v>
      </c>
      <c r="AC13" s="2">
        <f>SUMIFS(PERSALDATA!$H$2:$H$20871,PERSALDATA!$A$2:$A$20871,WORKING!A13,PERSALDATA!$D$2:$D$20871,WORKING!B13,PERSALDATA!$E$2:$E$20871,WORKING!C13)</f>
        <v>8223175.7500000009</v>
      </c>
    </row>
    <row r="14" spans="1:29" x14ac:dyDescent="0.25">
      <c r="A14" s="2">
        <f>Results!$D$3</f>
        <v>6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0.71025613052436076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5.0231648321213476E-2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5.2924093211921775E-3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4.544849047214891E-3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2.3021107984728152E-2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8.933332149835406E-2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1.9392982341507243E-3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9.4438389395285296E-5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9.2574567190709389E-2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1.3325060246466602E-2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1.43970828107909E-3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1.4436070739064287E-3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6.5038538872288047E-3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1.4573880664570264E-2</v>
      </c>
      <c r="AB14" s="2">
        <f>SUMIFS(PERSALDATA!$G$2:$G$20871,PERSALDATA!$A$2:$A$20871,WORKING!A14,PERSALDATA!$D$2:$D$20871,WORKING!B14,PERSALDATA!$E$2:$E$20871,WORKING!C14,PERSALDATA!$F$2:$F$20871,"S&amp;W: BASIC SALARY (RES)")</f>
        <v>103</v>
      </c>
      <c r="AC14" s="2">
        <f>SUMIFS(PERSALDATA!$H$2:$H$20871,PERSALDATA!$A$2:$A$20871,WORKING!A14,PERSALDATA!$D$2:$D$20871,WORKING!B14,PERSALDATA!$E$2:$E$20871,WORKING!C14)</f>
        <v>73833110.079999968</v>
      </c>
    </row>
    <row r="15" spans="1:29" x14ac:dyDescent="0.25">
      <c r="A15" s="2">
        <f>Results!$D$3</f>
        <v>6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0.65306527259271319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4.1880248931868862E-2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1.9182215903823195E-3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1.5842940902236074E-2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8.1494750080020217E-2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2.2865314079159372E-3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7.5814353802384487E-5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0.18465931010893324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8.0300535205365502E-3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6.6554794270288695E-3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1.2033865274391059E-3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2.8879905571233856E-3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1.473244534730369E-2</v>
      </c>
      <c r="AB15" s="2">
        <f>SUMIFS(PERSALDATA!$G$2:$G$20871,PERSALDATA!$A$2:$A$20871,WORKING!A15,PERSALDATA!$D$2:$D$20871,WORKING!B15,PERSALDATA!$E$2:$E$20871,WORKING!C15,PERSALDATA!$F$2:$F$20871,"S&amp;W: BASIC SALARY (RES)")</f>
        <v>35</v>
      </c>
      <c r="AC15" s="2">
        <f>SUMIFS(PERSALDATA!$H$2:$H$20871,PERSALDATA!$A$2:$A$20871,WORKING!A15,PERSALDATA!$D$2:$D$20871,WORKING!B15,PERSALDATA!$E$2:$E$20871,WORKING!C15)</f>
        <v>36905016.789999999</v>
      </c>
    </row>
    <row r="16" spans="1:29" x14ac:dyDescent="0.25">
      <c r="A16" s="2">
        <f>Results!$D$3</f>
        <v>6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0.63811054095545172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3.1607897675865013E-2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1.444502775628342E-2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1.4195375096547091E-2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7.0205029291518145E-2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2.655061677738896E-3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6.3716714374645564E-5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0.2134751430444676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4.8907710742061216E-3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9.460640319542005E-3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8.9079639400544916E-4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1.4569438206491923E-2</v>
      </c>
      <c r="AB16" s="2">
        <f>SUMIFS(PERSALDATA!$G$2:$G$20871,PERSALDATA!$A$2:$A$20871,WORKING!A16,PERSALDATA!$D$2:$D$20871,WORKING!B16,PERSALDATA!$E$2:$E$20871,WORKING!C16,PERSALDATA!$F$2:$F$20871,"S&amp;W: BASIC SALARY (RES)")</f>
        <v>18</v>
      </c>
      <c r="AC16" s="2">
        <f>SUMIFS(PERSALDATA!$H$2:$H$20871,PERSALDATA!$A$2:$A$20871,WORKING!A16,PERSALDATA!$D$2:$D$20871,WORKING!B16,PERSALDATA!$E$2:$E$20871,WORKING!C16)</f>
        <v>19941706.23</v>
      </c>
    </row>
    <row r="17" spans="1:29" x14ac:dyDescent="0.25">
      <c r="A17" s="2">
        <f>Results!$D$3</f>
        <v>6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0.60698018524565933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4.2422456000604958E-2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8.4998527579927298E-3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1.5650808642156778E-2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7.8946663928507785E-2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5.1469225684785684E-5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0.22834842908458358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2.7411997555962186E-3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1.6358935359213844E-2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1.4636968040612484E-2</v>
      </c>
      <c r="AB17" s="2">
        <f>SUMIFS(PERSALDATA!$G$2:$G$20871,PERSALDATA!$A$2:$A$20871,WORKING!A17,PERSALDATA!$D$2:$D$20871,WORKING!B17,PERSALDATA!$E$2:$E$20871,WORKING!C17,PERSALDATA!$F$2:$F$20871,"S&amp;W: BASIC SALARY (RES)")</f>
        <v>12</v>
      </c>
      <c r="AC17" s="2">
        <f>SUMIFS(PERSALDATA!$H$2:$H$20871,PERSALDATA!$A$2:$A$20871,WORKING!A17,PERSALDATA!$D$2:$D$20871,WORKING!B17,PERSALDATA!$E$2:$E$20871,WORKING!C17)</f>
        <v>16311106.080000002</v>
      </c>
    </row>
    <row r="18" spans="1:29" x14ac:dyDescent="0.25">
      <c r="A18" s="2">
        <f>Results!$D$3</f>
        <v>6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0.59957990619055113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8.8445215087506815E-3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1.0447423710191384E-2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9.9520350693149129E-2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1.3897768306543279E-5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0.27209511596560504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9.4987841634460637E-3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1.4843080177822529E-2</v>
      </c>
      <c r="AB18" s="2">
        <f>SUMIFS(PERSALDATA!$G$2:$G$20871,PERSALDATA!$A$2:$A$20871,WORKING!A18,PERSALDATA!$D$2:$D$20871,WORKING!B18,PERSALDATA!$E$2:$E$20871,WORKING!C18,PERSALDATA!$F$2:$F$20871,"S&amp;W: BASIC SALARY (RES)")</f>
        <v>4</v>
      </c>
      <c r="AC18" s="2">
        <f>SUMIFS(PERSALDATA!$H$2:$H$20871,PERSALDATA!$A$2:$A$20871,WORKING!A18,PERSALDATA!$D$2:$D$20871,WORKING!B18,PERSALDATA!$E$2:$E$20871,WORKING!C18)</f>
        <v>9648311.6600000001</v>
      </c>
    </row>
    <row r="19" spans="1:29" x14ac:dyDescent="0.25">
      <c r="A19" s="2">
        <f>Results!$D$3</f>
        <v>6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6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6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6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6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6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0.71948673699760857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5.5781682822089201E-2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5.0710424780555492E-2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1.0811780607690405E-3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6.6158875678381496E-2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9.3742100349463661E-2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3.1543368421060067E-3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3.6259308351976324E-4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8.051374831470292E-3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1.4706965540363982E-3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7.3072231976175114E-2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7.0485278887370162E-2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6.9485278887370175E-2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6.7485278887370173E-2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1.3241521596863147E-2</v>
      </c>
      <c r="AB24" s="2">
        <f>SUMIFS(PERSALDATA!$G$2:$G$20871,PERSALDATA!$A$2:$A$20871,WORKING!A24,PERSALDATA!$D$2:$D$20871,WORKING!B24,PERSALDATA!$E$2:$E$20871,WORKING!C24,PERSALDATA!$F$2:$F$20871,"S&amp;W: BASIC SALARY (RES)")</f>
        <v>44</v>
      </c>
      <c r="AC24" s="2">
        <f>SUMIFS(PERSALDATA!$H$2:$H$20871,PERSALDATA!$A$2:$A$20871,WORKING!A24,PERSALDATA!$D$2:$D$20871,WORKING!B24,PERSALDATA!$E$2:$E$20871,WORKING!C24)</f>
        <v>8489378.7000000011</v>
      </c>
    </row>
    <row r="25" spans="1:29" x14ac:dyDescent="0.25">
      <c r="A25" s="2">
        <f>Results!$D$3</f>
        <v>6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0.7019542815765244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5.7059578356433133E-2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3.3867983717649652E-2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8.7768342217245943E-2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9.125324305655623E-2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0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2.8207192153413926E-4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2.7814499154056618E-2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7.465479002850009E-2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7.0977845296082198E-2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6.9977845296082211E-2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6.7977845296082196E-2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1.3171224032153555E-2</v>
      </c>
      <c r="AB25" s="2">
        <f>SUMIFS(PERSALDATA!$G$2:$G$20871,PERSALDATA!$A$2:$A$20871,WORKING!A25,PERSALDATA!$D$2:$D$20871,WORKING!B25,PERSALDATA!$E$2:$E$20871,WORKING!C25,PERSALDATA!$F$2:$F$20871,"S&amp;W: BASIC SALARY (RES)")</f>
        <v>11</v>
      </c>
      <c r="AC25" s="2">
        <f>SUMIFS(PERSALDATA!$H$2:$H$20871,PERSALDATA!$A$2:$A$20871,WORKING!A25,PERSALDATA!$D$2:$D$20871,WORKING!B25,PERSALDATA!$E$2:$E$20871,WORKING!C25)</f>
        <v>2790245.82</v>
      </c>
    </row>
    <row r="26" spans="1:29" x14ac:dyDescent="0.25">
      <c r="A26" s="2">
        <f>Results!$D$3</f>
        <v>6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0.71377724871716408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6.0219441299581976E-2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2.3339412206676208E-2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2.5690303710752629E-3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6.3951327358081247E-2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9.2466023950774356E-2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4.2135324937971775E-3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2.3816360705826726E-4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1.3776155191673755E-3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1.6286908441446882E-2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3.6479990148972582E-4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2.1196496133687376E-2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7.5121523255305744E-2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7.0725875788304471E-2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6.9725875788304442E-2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6.7725875788304482E-2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1.3687066452422762E-2</v>
      </c>
      <c r="AB26" s="2">
        <f>SUMIFS(PERSALDATA!$G$2:$G$20871,PERSALDATA!$A$2:$A$20871,WORKING!A26,PERSALDATA!$D$2:$D$20871,WORKING!B26,PERSALDATA!$E$2:$E$20871,WORKING!C26,PERSALDATA!$F$2:$F$20871,"S&amp;W: BASIC SALARY (RES)")</f>
        <v>127</v>
      </c>
      <c r="AC26" s="2">
        <f>SUMIFS(PERSALDATA!$H$2:$H$20871,PERSALDATA!$A$2:$A$20871,WORKING!A26,PERSALDATA!$D$2:$D$20871,WORKING!B26,PERSALDATA!$E$2:$E$20871,WORKING!C26)</f>
        <v>37599489.320000008</v>
      </c>
    </row>
    <row r="27" spans="1:29" x14ac:dyDescent="0.25">
      <c r="A27" s="2">
        <f>Results!$D$3</f>
        <v>6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0.7078090261800053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5.8125042501765249E-2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1.9528428438763915E-2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7.1271304848532259E-3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5.7206436030290228E-2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9.210664889045353E-2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3.4544803772027311E-3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1.8893317657413367E-4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1.4066332258946514E-2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1.0554782582180642E-3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2.5373515213755432E-3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3.679471188155168E-2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7.5316729543078012E-2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7.0662812256066715E-2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6.9662812256066728E-2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6.7662812256066726E-2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1.3846143035315577E-2</v>
      </c>
      <c r="AB27" s="2">
        <f>SUMIFS(PERSALDATA!$G$2:$G$20871,PERSALDATA!$A$2:$A$20871,WORKING!A27,PERSALDATA!$D$2:$D$20871,WORKING!B27,PERSALDATA!$E$2:$E$20871,WORKING!C27,PERSALDATA!$F$2:$F$20871,"S&amp;W: BASIC SALARY (RES)")</f>
        <v>110</v>
      </c>
      <c r="AC27" s="2">
        <f>SUMIFS(PERSALDATA!$H$2:$H$20871,PERSALDATA!$A$2:$A$20871,WORKING!A27,PERSALDATA!$D$2:$D$20871,WORKING!B27,PERSALDATA!$E$2:$E$20871,WORKING!C27)</f>
        <v>40917271.07</v>
      </c>
    </row>
    <row r="28" spans="1:29" x14ac:dyDescent="0.25">
      <c r="A28" s="2">
        <f>Results!$D$3</f>
        <v>6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0.81594220961920416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0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2.6501856788795141E-2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1.8332041056990631E-2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3.2836782111568617E-2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0.10620399240853329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1.8311801490806005E-4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7.4445573833613526E-2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7.0227533163785563E-2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6.9227533163785576E-2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6.7227533163785588E-2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1.4107173646270921E-2</v>
      </c>
      <c r="AB28" s="2">
        <f>SUMIFS(PERSALDATA!$G$2:$G$20871,PERSALDATA!$A$2:$A$20871,WORKING!A28,PERSALDATA!$D$2:$D$20871,WORKING!B28,PERSALDATA!$E$2:$E$20871,WORKING!C28,PERSALDATA!$F$2:$F$20871,"S&amp;W: BASIC SALARY (RES)")</f>
        <v>2</v>
      </c>
      <c r="AC28" s="2">
        <f>SUMIFS(PERSALDATA!$H$2:$H$20871,PERSALDATA!$A$2:$A$20871,WORKING!A28,PERSALDATA!$D$2:$D$20871,WORKING!B28,PERSALDATA!$E$2:$E$20871,WORKING!C28)</f>
        <v>509398.27</v>
      </c>
    </row>
    <row r="29" spans="1:29" x14ac:dyDescent="0.25">
      <c r="A29" s="2">
        <f>Results!$D$3</f>
        <v>6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0.7439208173673385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6.2424031266744784E-2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1.1666098322853716E-2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1.5477970505793116E-3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4.0233858129903925E-2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9.6800372491692099E-2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1.7901238264356717E-3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1.336898397989666E-4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1.0129669781193476E-4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1.1997332822050351E-2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1.248692347420652E-4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1.0617962362576606E-3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2.8197916713791168E-2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7.5676650541281754E-2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7.0486846888720048E-2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6.9486846888720047E-2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6.7486846888720017E-2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1.4219495305611654E-2</v>
      </c>
      <c r="AB29" s="2">
        <f>SUMIFS(PERSALDATA!$G$2:$G$20871,PERSALDATA!$A$2:$A$20871,WORKING!A29,PERSALDATA!$D$2:$D$20871,WORKING!B29,PERSALDATA!$E$2:$E$20871,WORKING!C29,PERSALDATA!$F$2:$F$20871,"S&amp;W: BASIC SALARY (RES)")</f>
        <v>353</v>
      </c>
      <c r="AC29" s="2">
        <f>SUMIFS(PERSALDATA!$H$2:$H$20871,PERSALDATA!$A$2:$A$20871,WORKING!A29,PERSALDATA!$D$2:$D$20871,WORKING!B29,PERSALDATA!$E$2:$E$20871,WORKING!C29)</f>
        <v>188649190.08000001</v>
      </c>
    </row>
    <row r="30" spans="1:29" x14ac:dyDescent="0.25">
      <c r="A30" s="2">
        <f>Results!$D$3</f>
        <v>6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0.67195124859617883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3.7478561877858592E-2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2.281594327469473E-2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8.7353322563478761E-2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3.8195291263008961E-2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1.0845972499121954E-4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0.13891790692273012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3.1792657770588683E-3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1.4656133955004712E-2</v>
      </c>
      <c r="AB30" s="2">
        <f>SUMIFS(PERSALDATA!$G$2:$G$20871,PERSALDATA!$A$2:$A$20871,WORKING!A30,PERSALDATA!$D$2:$D$20871,WORKING!B30,PERSALDATA!$E$2:$E$20871,WORKING!C30,PERSALDATA!$F$2:$F$20871,"S&amp;W: BASIC SALARY (RES)")</f>
        <v>5</v>
      </c>
      <c r="AC30" s="2">
        <f>SUMIFS(PERSALDATA!$H$2:$H$20871,PERSALDATA!$A$2:$A$20871,WORKING!A30,PERSALDATA!$D$2:$D$20871,WORKING!B30,PERSALDATA!$E$2:$E$20871,WORKING!C30)</f>
        <v>3601429.01</v>
      </c>
    </row>
    <row r="31" spans="1:29" x14ac:dyDescent="0.25">
      <c r="A31" s="2">
        <f>Results!$D$3</f>
        <v>6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0.7103243503957013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5.0234392239974938E-2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4.2974199777242837E-3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3.3734370628092032E-5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2.431801336055885E-2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9.2406336340305525E-2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2.3018540514107961E-3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9.2622041517897676E-5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7.9106326424483508E-2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6.9534552391060517E-3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1.4468719132300753E-3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2.1023192273373946E-3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2.6382304418021484E-2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1.4569379169302985E-2</v>
      </c>
      <c r="AB31" s="2">
        <f>SUMIFS(PERSALDATA!$G$2:$G$20871,PERSALDATA!$A$2:$A$20871,WORKING!A31,PERSALDATA!$D$2:$D$20871,WORKING!B31,PERSALDATA!$E$2:$E$20871,WORKING!C31,PERSALDATA!$F$2:$F$20871,"S&amp;W: BASIC SALARY (RES)")</f>
        <v>211</v>
      </c>
      <c r="AC31" s="2">
        <f>SUMIFS(PERSALDATA!$H$2:$H$20871,PERSALDATA!$A$2:$A$20871,WORKING!A31,PERSALDATA!$D$2:$D$20871,WORKING!B31,PERSALDATA!$E$2:$E$20871,WORKING!C31)</f>
        <v>163906125.91999996</v>
      </c>
    </row>
    <row r="32" spans="1:29" x14ac:dyDescent="0.25">
      <c r="A32" s="2">
        <f>Results!$D$3</f>
        <v>6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0.63793308797925885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3.5818204623411246E-2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6.530466819442542E-3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1.8078957223718006E-2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7.4805240771267059E-2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1.1900573689137082E-3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7.4736748386117547E-5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0.20579535736919463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7.5262927038777612E-3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1.1217194792159514E-3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6.2870941111021258E-4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1.0497169502203835E-2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1.4629737588126798E-2</v>
      </c>
      <c r="AB32" s="2">
        <f>SUMIFS(PERSALDATA!$G$2:$G$20871,PERSALDATA!$A$2:$A$20871,WORKING!A32,PERSALDATA!$D$2:$D$20871,WORKING!B32,PERSALDATA!$E$2:$E$20871,WORKING!C32,PERSALDATA!$F$2:$F$20871,"S&amp;W: BASIC SALARY (RES)")</f>
        <v>117</v>
      </c>
      <c r="AC32" s="2">
        <f>SUMIFS(PERSALDATA!$H$2:$H$20871,PERSALDATA!$A$2:$A$20871,WORKING!A32,PERSALDATA!$D$2:$D$20871,WORKING!B32,PERSALDATA!$E$2:$E$20871,WORKING!C32)</f>
        <v>111394865.03999999</v>
      </c>
    </row>
    <row r="33" spans="1:29" x14ac:dyDescent="0.25">
      <c r="A33" s="2">
        <f>Results!$D$3</f>
        <v>6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0.62040743224689898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4.1781409733417985E-2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6.7843806408581847E-3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1.4246626208638452E-2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7.3017116180786795E-2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1.5494796824724374E-3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6.0278690824173963E-5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0.19831714460628569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1.0649653617726525E-2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5.4021074234352352E-4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3.2646267649747075E-2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1.4683630716895187E-2</v>
      </c>
      <c r="AB33" s="2">
        <f>SUMIFS(PERSALDATA!$G$2:$G$20871,PERSALDATA!$A$2:$A$20871,WORKING!A33,PERSALDATA!$D$2:$D$20871,WORKING!B33,PERSALDATA!$E$2:$E$20871,WORKING!C33,PERSALDATA!$F$2:$F$20871,"S&amp;W: BASIC SALARY (RES)")</f>
        <v>53</v>
      </c>
      <c r="AC33" s="2">
        <f>SUMIFS(PERSALDATA!$H$2:$H$20871,PERSALDATA!$A$2:$A$20871,WORKING!A33,PERSALDATA!$D$2:$D$20871,WORKING!B33,PERSALDATA!$E$2:$E$20871,WORKING!C33)</f>
        <v>65767851.720000036</v>
      </c>
    </row>
    <row r="34" spans="1:29" x14ac:dyDescent="0.25">
      <c r="A34" s="2">
        <f>Results!$D$3</f>
        <v>6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0.6259455651917456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4.3521849641608171E-2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1.182570837577576E-2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1.530410316202201E-2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6.9346911855257945E-2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5.2262438655323493E-5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0.23093294288197241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2.0888391326363987E-3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9.8181732032629507E-4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1.4592268890353201E-2</v>
      </c>
      <c r="AB34" s="2">
        <f>SUMIFS(PERSALDATA!$G$2:$G$20871,PERSALDATA!$A$2:$A$20871,WORKING!A34,PERSALDATA!$D$2:$D$20871,WORKING!B34,PERSALDATA!$E$2:$E$20871,WORKING!C34,PERSALDATA!$F$2:$F$20871,"S&amp;W: BASIC SALARY (RES)")</f>
        <v>8</v>
      </c>
      <c r="AC34" s="2">
        <f>SUMIFS(PERSALDATA!$H$2:$H$20871,PERSALDATA!$A$2:$A$20871,WORKING!A34,PERSALDATA!$D$2:$D$20871,WORKING!B34,PERSALDATA!$E$2:$E$20871,WORKING!C34)</f>
        <v>9593505.6400000006</v>
      </c>
    </row>
    <row r="35" spans="1:29" x14ac:dyDescent="0.25">
      <c r="A35" s="2">
        <f>Results!$D$3</f>
        <v>6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6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6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6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0.72945039782094478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0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0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0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0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0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0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6.5295498530571297E-4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0.26989664719374956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0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7.5999999999999998E-2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7.0000000000000007E-2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6.9000000000000006E-2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6.7000000000000004E-2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1.4990205675220414E-2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62500.479999999996</v>
      </c>
    </row>
    <row r="39" spans="1:29" x14ac:dyDescent="0.25">
      <c r="A39" s="2">
        <f>Results!$D$3</f>
        <v>6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6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0.14722908721189967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0.19416140880591726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0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1.9138466413878553E-2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0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0.63947103756830459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7.5999999999999998E-2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7.0000000000000007E-2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6.9000000000000006E-2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6.7000000000000004E-2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1.5000000000000003E-2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18175.96</v>
      </c>
    </row>
    <row r="41" spans="1:29" x14ac:dyDescent="0.25">
      <c r="A41" s="2">
        <f>Results!$D$3</f>
        <v>6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0.61144792505312151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5.3161099592590452E-2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5.1036192210805111E-2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0.10330409636335262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5.0509564712426645E-2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7.8858388129905407E-2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1.4835780254990815E-2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3.0555002890475405E-4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1.866728682882444E-3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3.423834342268825E-2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4.3633154833196824E-4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7.2828383297952784E-2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7.0247281548578344E-2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6.9247281548578357E-2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6.7247281548578328E-2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1.3472230395717951E-2</v>
      </c>
      <c r="AB41" s="2">
        <f>SUMIFS(PERSALDATA!$G$2:$G$20871,PERSALDATA!$A$2:$A$20871,WORKING!A41,PERSALDATA!$D$2:$D$20871,WORKING!B41,PERSALDATA!$E$2:$E$20871,WORKING!C41,PERSALDATA!$F$2:$F$20871,"S&amp;W: BASIC SALARY (RES)")</f>
        <v>52</v>
      </c>
      <c r="AC41" s="2">
        <f>SUMIFS(PERSALDATA!$H$2:$H$20871,PERSALDATA!$A$2:$A$20871,WORKING!A41,PERSALDATA!$D$2:$D$20871,WORKING!B41,PERSALDATA!$E$2:$E$20871,WORKING!C41)</f>
        <v>12726262.91</v>
      </c>
    </row>
    <row r="42" spans="1:29" x14ac:dyDescent="0.25">
      <c r="A42" s="2">
        <f>Results!$D$3</f>
        <v>6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0.58398299544423227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4.7764223040858408E-2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4.4644695193304086E-2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5.0929208264818761E-2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6.66669488183258E-2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7.5931071362884725E-2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0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2.3587104722104583E-4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0.12393864493260176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2.080055804954285E-3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3.8262860907988592E-3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7.3540340448765451E-2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7.0553557280341864E-2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6.9553557280341849E-2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6.7553557280341861E-2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1.3326787274117236E-2</v>
      </c>
      <c r="AB42" s="2">
        <f>SUMIFS(PERSALDATA!$G$2:$G$20871,PERSALDATA!$A$2:$A$20871,WORKING!A42,PERSALDATA!$D$2:$D$20871,WORKING!B42,PERSALDATA!$E$2:$E$20871,WORKING!C42,PERSALDATA!$F$2:$F$20871,"S&amp;W: BASIC SALARY (RES)")</f>
        <v>10</v>
      </c>
      <c r="AC42" s="2">
        <f>SUMIFS(PERSALDATA!$H$2:$H$20871,PERSALDATA!$A$2:$A$20871,WORKING!A42,PERSALDATA!$D$2:$D$20871,WORKING!B42,PERSALDATA!$E$2:$E$20871,WORKING!C42)</f>
        <v>2842442.97</v>
      </c>
    </row>
    <row r="43" spans="1:29" x14ac:dyDescent="0.25">
      <c r="A43" s="2">
        <f>Results!$D$3</f>
        <v>6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0.6307887207621653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5.4230082970368937E-2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3.7452133741484622E-2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0.10916157919055761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5.5014706290227172E-2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8.2022694298198529E-2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1.015760001724423E-3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2.0943829441113688E-4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2.6834526866750977E-2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1.9860065308307862E-3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1.284351053280369E-3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7.3923843723710331E-2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7.0450699256938545E-2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6.9450699256938545E-2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6.7450699256938557E-2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1.3609855825108153E-2</v>
      </c>
      <c r="AB43" s="2">
        <f>SUMIFS(PERSALDATA!$G$2:$G$20871,PERSALDATA!$A$2:$A$20871,WORKING!A43,PERSALDATA!$D$2:$D$20871,WORKING!B43,PERSALDATA!$E$2:$E$20871,WORKING!C43,PERSALDATA!$F$2:$F$20871,"S&amp;W: BASIC SALARY (RES)")</f>
        <v>41</v>
      </c>
      <c r="AC43" s="2">
        <f>SUMIFS(PERSALDATA!$H$2:$H$20871,PERSALDATA!$A$2:$A$20871,WORKING!A43,PERSALDATA!$D$2:$D$20871,WORKING!B43,PERSALDATA!$E$2:$E$20871,WORKING!C43)</f>
        <v>13417126.07</v>
      </c>
    </row>
    <row r="44" spans="1:29" x14ac:dyDescent="0.25">
      <c r="A44" s="2">
        <f>Results!$D$3</f>
        <v>6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0.65715447533785687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5.7114052316359042E-2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2.7472207085781783E-2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0.11037904147108235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4.5591797558637716E-2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8.5619454840175496E-2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5.2915878545075137E-3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1.761955407654387E-4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8.6493071723476086E-3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8.1995220214966266E-4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9.2990908283503736E-4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8.0201953750150604E-4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7.4550397427301504E-2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7.0409154892521753E-2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6.9409154892521752E-2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6.7409154892521764E-2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1.3901396997222225E-2</v>
      </c>
      <c r="AB44" s="2">
        <f>SUMIFS(PERSALDATA!$G$2:$G$20871,PERSALDATA!$A$2:$A$20871,WORKING!A44,PERSALDATA!$D$2:$D$20871,WORKING!B44,PERSALDATA!$E$2:$E$20871,WORKING!C44,PERSALDATA!$F$2:$F$20871,"S&amp;W: BASIC SALARY (RES)")</f>
        <v>70</v>
      </c>
      <c r="AC44" s="2">
        <f>SUMIFS(PERSALDATA!$H$2:$H$20871,PERSALDATA!$A$2:$A$20871,WORKING!A44,PERSALDATA!$D$2:$D$20871,WORKING!B44,PERSALDATA!$E$2:$E$20871,WORKING!C44)</f>
        <v>28654414.170000002</v>
      </c>
    </row>
    <row r="45" spans="1:29" x14ac:dyDescent="0.25">
      <c r="A45" s="2">
        <f>Results!$D$3</f>
        <v>6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0.83892209316225208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0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0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5.1105794948968122E-2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0.10977712053763296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0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1.9499135114691367E-4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7.6715481129285557E-2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7.0766586924234542E-2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6.9766586924234542E-2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6.7766586924234526E-2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1.4230488205498274E-2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149493.81</v>
      </c>
    </row>
    <row r="46" spans="1:29" x14ac:dyDescent="0.25">
      <c r="A46" s="2">
        <f>Results!$D$3</f>
        <v>6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0.71770889965624762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5.9945335605280092E-2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2.0478374193194402E-2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3.4534572274656748E-2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3.6845606068832845E-2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9.332560506868591E-2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1.4403172912189081E-3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1.310910425854447E-4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2.459414234258011E-2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1.8100335849022611E-3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3.4643033989753623E-4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8.8395925319183187E-3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7.4959482046280917E-2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7.0347900349100573E-2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6.9347900349100572E-2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6.734790034910057E-2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1.4138173930430811E-2</v>
      </c>
      <c r="AB46" s="2">
        <f>SUMIFS(PERSALDATA!$G$2:$G$20871,PERSALDATA!$A$2:$A$20871,WORKING!A46,PERSALDATA!$D$2:$D$20871,WORKING!B46,PERSALDATA!$E$2:$E$20871,WORKING!C46,PERSALDATA!$F$2:$F$20871,"S&amp;W: BASIC SALARY (RES)")</f>
        <v>95</v>
      </c>
      <c r="AC46" s="2">
        <f>SUMIFS(PERSALDATA!$H$2:$H$20871,PERSALDATA!$A$2:$A$20871,WORKING!A46,PERSALDATA!$D$2:$D$20871,WORKING!B46,PERSALDATA!$E$2:$E$20871,WORKING!C46)</f>
        <v>51277264.009999998</v>
      </c>
    </row>
    <row r="47" spans="1:29" x14ac:dyDescent="0.25">
      <c r="A47" s="2">
        <f>Results!$D$3</f>
        <v>6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0.67817432832683511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5.6514527360569576E-2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7.6254498930354228E-2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4.4200435320307492E-2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8.8162245445620666E-2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1.9402514582452349E-2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1.1107264565404856E-4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3.7180377388206752E-2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1.4335327380510578E-2</v>
      </c>
      <c r="AB47" s="2">
        <f>SUMIFS(PERSALDATA!$G$2:$G$20871,PERSALDATA!$A$2:$A$20871,WORKING!A47,PERSALDATA!$D$2:$D$20871,WORKING!B47,PERSALDATA!$E$2:$E$20871,WORKING!C47,PERSALDATA!$F$2:$F$20871,"S&amp;W: BASIC SALARY (RES)")</f>
        <v>1</v>
      </c>
      <c r="AC47" s="2">
        <f>SUMIFS(PERSALDATA!$H$2:$H$20871,PERSALDATA!$A$2:$A$20871,WORKING!A47,PERSALDATA!$D$2:$D$20871,WORKING!B47,PERSALDATA!$E$2:$E$20871,WORKING!C47)</f>
        <v>629858.04999999993</v>
      </c>
    </row>
    <row r="48" spans="1:29" x14ac:dyDescent="0.25">
      <c r="A48" s="2">
        <f>Results!$D$3</f>
        <v>6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0.69961121356413158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5.1814122570159687E-2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9.8373109067291537E-3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8.0885488180392762E-3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2.2276984969822035E-2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9.1012452691784498E-2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5.4738129746484286E-3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9.4169626043228121E-5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8.0934119242213776E-2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1.8424568648009749E-2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1.7642264643261709E-3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9.5807290668042055E-4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9.7103966174121089E-3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1.4516873017461086E-2</v>
      </c>
      <c r="AB48" s="2">
        <f>SUMIFS(PERSALDATA!$G$2:$G$20871,PERSALDATA!$A$2:$A$20871,WORKING!A48,PERSALDATA!$D$2:$D$20871,WORKING!B48,PERSALDATA!$E$2:$E$20871,WORKING!C48,PERSALDATA!$F$2:$F$20871,"S&amp;W: BASIC SALARY (RES)")</f>
        <v>49</v>
      </c>
      <c r="AC48" s="2">
        <f>SUMIFS(PERSALDATA!$H$2:$H$20871,PERSALDATA!$A$2:$A$20871,WORKING!A48,PERSALDATA!$D$2:$D$20871,WORKING!B48,PERSALDATA!$E$2:$E$20871,WORKING!C48)</f>
        <v>37083294.75999999</v>
      </c>
    </row>
    <row r="49" spans="1:29" x14ac:dyDescent="0.25">
      <c r="A49" s="2">
        <f>Results!$D$3</f>
        <v>6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0.61799484091996426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3.8722251173139828E-2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1.0542236111057847E-2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2.4260929056501353E-2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8.0339135204590878E-2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7.564865350923317E-5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0.19906102589813102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1.0122724854784326E-2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4.3007846937475015E-3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7.2027800875704455E-4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1.3860145425816723E-2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1.4476817792683973E-2</v>
      </c>
      <c r="AB49" s="2">
        <f>SUMIFS(PERSALDATA!$G$2:$G$20871,PERSALDATA!$A$2:$A$20871,WORKING!A49,PERSALDATA!$D$2:$D$20871,WORKING!B49,PERSALDATA!$E$2:$E$20871,WORKING!C49,PERSALDATA!$F$2:$F$20871,"S&amp;W: BASIC SALARY (RES)")</f>
        <v>12</v>
      </c>
      <c r="AC49" s="2">
        <f>SUMIFS(PERSALDATA!$H$2:$H$20871,PERSALDATA!$A$2:$A$20871,WORKING!A49,PERSALDATA!$D$2:$D$20871,WORKING!B49,PERSALDATA!$E$2:$E$20871,WORKING!C49)</f>
        <v>12331349.690000001</v>
      </c>
    </row>
    <row r="50" spans="1:29" x14ac:dyDescent="0.25">
      <c r="A50" s="2">
        <f>Results!$D$3</f>
        <v>6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0.6094661741152797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2.2263958353897325E-2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1.7148582752728746E-2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7.9230464958787397E-2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6.5497411430972245E-5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0.24620975516440594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2.3732826674746382E-2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1.8827405687235688E-3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1.4741788797537602E-2</v>
      </c>
      <c r="AB50" s="2">
        <f>SUMIFS(PERSALDATA!$G$2:$G$20871,PERSALDATA!$A$2:$A$20871,WORKING!A50,PERSALDATA!$D$2:$D$20871,WORKING!B50,PERSALDATA!$E$2:$E$20871,WORKING!C50,PERSALDATA!$F$2:$F$20871,"S&amp;W: BASIC SALARY (RES)")</f>
        <v>5</v>
      </c>
      <c r="AC50" s="2">
        <f>SUMIFS(PERSALDATA!$H$2:$H$20871,PERSALDATA!$A$2:$A$20871,WORKING!A50,PERSALDATA!$D$2:$D$20871,WORKING!B50,PERSALDATA!$E$2:$E$20871,WORKING!C50)</f>
        <v>4717591.0199999996</v>
      </c>
    </row>
    <row r="51" spans="1:29" x14ac:dyDescent="0.25">
      <c r="A51" s="2">
        <f>Results!$D$3</f>
        <v>6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6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6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6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6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6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6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6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6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6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6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6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6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6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6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6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6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6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6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6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6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6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6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6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6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6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6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6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6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6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6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6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6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6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6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6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6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6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6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6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6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6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6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6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6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6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6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6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6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6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6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6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6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6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6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6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6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6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6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6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6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6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6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6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6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6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6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6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6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6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6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6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6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6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6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6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6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6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6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6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6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6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6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6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6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6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6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6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6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6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6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6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6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6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6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6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6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6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6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6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6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6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6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6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6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6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6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6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6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6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6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6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6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6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6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6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6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6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6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6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6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6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6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6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6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6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6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6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6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6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6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6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6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6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6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6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6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6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6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6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6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6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6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6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6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6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6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6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6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6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6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6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6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6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6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6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6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6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6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6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6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6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6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6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6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6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6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6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6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6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6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6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6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6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6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6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6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6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6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6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6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6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6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6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6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6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6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6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6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6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6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6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6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6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6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6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6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6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6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6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6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6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6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6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6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6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6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6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6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6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6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6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6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6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6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6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6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6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6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6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6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6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6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6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E5" sqref="E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6</v>
      </c>
      <c r="E3" s="74" t="str">
        <f>INDEX(MAPs!$I$7:$J$54,MATCH(Results!$D$3,MAPs!$I$7:$I$54,0),2)</f>
        <v>International Relations And Cooperation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503.53194650817233</v>
      </c>
      <c r="N9" s="148">
        <f>IFERROR(SUMIFS('Employee Profile (2)'!C$4:C$50,'Employee Profile (2)'!$B$4:$B$50,Results!$D$3),"")</f>
        <v>0.22065378900445765</v>
      </c>
      <c r="O9" s="150" t="s">
        <v>620</v>
      </c>
      <c r="P9" s="143">
        <f>IFERROR(INDEX('Employee Profile (2)'!$AC$4:$AC$50,MATCH(Results!$D$3,'Employee Profile (2)'!$B$4:$B$50,0))*$Q9,"")</f>
        <v>1135.9138187221397</v>
      </c>
      <c r="Q9" s="148">
        <f>IFERROR(SUMIFS('Employee Profile (2)'!J$4:J$50,'Employee Profile (2)'!$B$4:$B$50,Results!$D$3),"")</f>
        <v>0.49777117384843983</v>
      </c>
      <c r="R9" s="150" t="s">
        <v>627</v>
      </c>
      <c r="S9" s="144">
        <f>IFERROR(INDEX('Employee Profile (2)'!$AC$4:$AC$50,MATCH(Results!$D$3,'Employee Profile (2)'!$B$4:$B$50,0))*$T9,"")</f>
        <v>16.106240713224366</v>
      </c>
      <c r="T9" s="147">
        <f>IFERROR(SUMIFS('Employee Profile (2)'!N$4:N$50,'Employee Profile (2)'!$B$4:$B$50,Results!$D$3),"")</f>
        <v>7.0579494799405638E-3</v>
      </c>
      <c r="U9" s="150" t="s">
        <v>632</v>
      </c>
      <c r="V9" s="144">
        <f>IFERROR(INDEX('Employee Profile (2)'!$AC$4:$AC$50,MATCH(Results!$D$3,'Employee Profile (2)'!$B$4:$B$50,0))*$W9,"")</f>
        <v>1097.7674591381872</v>
      </c>
      <c r="W9" s="147">
        <f>IFERROR(SUMIFS('Employee Profile (2)'!S$4:S$50,'Employee Profile (2)'!$B$4:$B$50,Results!$D$3),"")</f>
        <v>0.4810549777117385</v>
      </c>
      <c r="X9" s="150" t="s">
        <v>635</v>
      </c>
      <c r="Y9" s="144">
        <f>IFERROR(INDEX('Employee Profile (2)'!$AC$4:$AC$50,MATCH(Results!$D$3,'Employee Profile (2)'!$B$4:$B$50,0))*$Z9,"")</f>
        <v>1438.541604754829</v>
      </c>
      <c r="Z9" s="147">
        <f>IFERROR(SUMIFS('Employee Profile (2)'!V$4:V$50,'Employee Profile (2)'!$B$4:$B$50,Results!$D$3),"")</f>
        <v>0.63038632986627041</v>
      </c>
      <c r="AA9" s="150" t="s">
        <v>675</v>
      </c>
      <c r="AB9" s="144">
        <f>IFERROR(SUMIFS('Employee Profile (2)'!$AD$4:$AD$50,'Employee Profile (2)'!$B$4:$B$50,Results!$D$3),"")</f>
        <v>902</v>
      </c>
      <c r="AC9" s="147">
        <f>IFERROR(SUMIFS('Employee Profile (2)'!$AE$4:$AE$50,'Employee Profile (2)'!$B$4:$B$50,Results!$D$3),"")</f>
        <v>0.39526730937773885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858.71693907875181</v>
      </c>
      <c r="N10" s="148">
        <f>IFERROR(SUMIFS('Employee Profile (2)'!D$4:D$50,'Employee Profile (2)'!$B$4:$B$50,Results!$D$3),"")</f>
        <v>0.3763001485884101</v>
      </c>
      <c r="O10" s="150" t="s">
        <v>621</v>
      </c>
      <c r="P10" s="143">
        <f>IFERROR(INDEX('Employee Profile (2)'!$AC$4:$AC$50,MATCH(Results!$D$3,'Employee Profile (2)'!$B$4:$B$50,0))*$Q10,"")</f>
        <v>542.52600297176821</v>
      </c>
      <c r="Q10" s="148">
        <f>IFERROR(SUMIFS('Employee Profile (2)'!K$4:K$50,'Employee Profile (2)'!$B$4:$B$50,Results!$D$3),"")</f>
        <v>0.23774145616641901</v>
      </c>
      <c r="R10" s="150" t="s">
        <v>628</v>
      </c>
      <c r="S10" s="144">
        <f>IFERROR(INDEX('Employee Profile (2)'!$AC$4:$AC$50,MATCH(Results!$D$3,'Employee Profile (2)'!$B$4:$B$50,0))*$T10,"")</f>
        <v>342.46953937592866</v>
      </c>
      <c r="T10" s="147">
        <f>IFERROR(SUMIFS('Employee Profile (2)'!O$4:O$50,'Employee Profile (2)'!$B$4:$B$50,Results!$D$3),"")</f>
        <v>0.150074294205052</v>
      </c>
      <c r="U10" s="150" t="s">
        <v>633</v>
      </c>
      <c r="V10" s="144">
        <f>IFERROR(INDEX('Employee Profile (2)'!$AC$4:$AC$50,MATCH(Results!$D$3,'Employee Profile (2)'!$B$4:$B$50,0))*$W10,"")</f>
        <v>870.58469539375926</v>
      </c>
      <c r="W10" s="147">
        <f>IFERROR(SUMIFS('Employee Profile (2)'!T$4:T$50,'Employee Profile (2)'!$B$4:$B$50,Results!$D$3),"")</f>
        <v>0.3815007429420505</v>
      </c>
      <c r="X10" s="150" t="s">
        <v>636</v>
      </c>
      <c r="Y10" s="144">
        <f>IFERROR(INDEX('Employee Profile (2)'!$AC$4:$AC$50,MATCH(Results!$D$3,'Employee Profile (2)'!$B$4:$B$50,0))*$Z10,"")</f>
        <v>102.57132243684993</v>
      </c>
      <c r="Z10" s="147">
        <f>IFERROR(SUMIFS('Employee Profile (2)'!W$4:W$50,'Employee Profile (2)'!$B$4:$B$50,Results!$D$3),"")</f>
        <v>4.4947994056463596E-2</v>
      </c>
      <c r="AA10" s="150" t="s">
        <v>676</v>
      </c>
      <c r="AB10" s="144">
        <f>IFERROR(INDEX('Employee Profile (2)'!$AC$4:$AC$50,MATCH(Results!$D$3,'Employee Profile (2)'!$B$4:$B$50))-$AB$9,"")</f>
        <v>1380</v>
      </c>
      <c r="AC10" s="147">
        <f>IFERROR(100%-$AC$9,"")</f>
        <v>0.6047326906222612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243.28900445765228</v>
      </c>
      <c r="N11" s="148">
        <f>IFERROR(SUMIFS('Employee Profile (2)'!E$4:E$50,'Employee Profile (2)'!$B$4:$B$50,Results!$D$3),"")</f>
        <v>0.10661218424962852</v>
      </c>
      <c r="O11" s="150" t="s">
        <v>622</v>
      </c>
      <c r="P11" s="143">
        <f>IFERROR(INDEX('Employee Profile (2)'!$AC$4:$AC$50,MATCH(Results!$D$3,'Employee Profile (2)'!$B$4:$B$50,0))*$Q11,"")</f>
        <v>402.65601783060924</v>
      </c>
      <c r="Q11" s="148">
        <f>IFERROR(SUMIFS('Employee Profile (2)'!L$4:L$50,'Employee Profile (2)'!$B$4:$B$50,Results!$D$3),"")</f>
        <v>0.17644873699851413</v>
      </c>
      <c r="R11" s="150" t="s">
        <v>629</v>
      </c>
      <c r="S11" s="144">
        <f>IFERROR(INDEX('Employee Profile (2)'!$AC$4:$AC$50,MATCH(Results!$D$3,'Employee Profile (2)'!$B$4:$B$50,0))*$T11,"")</f>
        <v>661.20356612184241</v>
      </c>
      <c r="T11" s="147">
        <f>IFERROR(SUMIFS('Employee Profile (2)'!P$4:P$50,'Employee Profile (2)'!$B$4:$B$50,Results!$D$3),"")</f>
        <v>0.28974739970282315</v>
      </c>
      <c r="U11" s="150" t="s">
        <v>53</v>
      </c>
      <c r="V11" s="144">
        <f>IFERROR(INDEX('Employee Profile (2)'!$AC$4:$AC$50,MATCH(Results!$D$3,'Employee Profile (2)'!$B$4:$B$50,0))*$W11,"")</f>
        <v>313.6478454680535</v>
      </c>
      <c r="W11" s="147">
        <f>IFERROR(SUMIFS('Employee Profile (2)'!U$4:U$50,'Employee Profile (2)'!$B$4:$B$50,Results!$D$3),"")</f>
        <v>0.13744427934621101</v>
      </c>
      <c r="X11" s="150" t="s">
        <v>637</v>
      </c>
      <c r="Y11" s="144">
        <f>IFERROR(INDEX('Employee Profile (2)'!$AC$4:$AC$50,MATCH(Results!$D$3,'Employee Profile (2)'!$B$4:$B$50,0))*$Z11,"")</f>
        <v>85.617384843982165</v>
      </c>
      <c r="Z11" s="147">
        <f>IFERROR(SUMIFS('Employee Profile (2)'!X$4:X$50,'Employee Profile (2)'!$B$4:$B$50,Results!$D$3),"")</f>
        <v>3.7518573551263E-2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227.18276374442792</v>
      </c>
      <c r="N12" s="148">
        <f>IFERROR(SUMIFS('Employee Profile (2)'!F$4:F$50,'Employee Profile (2)'!$B$4:$B$50,Results!$D$3),"")</f>
        <v>9.9554234769687958E-2</v>
      </c>
      <c r="O12" s="150" t="s">
        <v>623</v>
      </c>
      <c r="P12" s="143">
        <f>IFERROR(INDEX('Employee Profile (2)'!$AC$4:$AC$50,MATCH(Results!$D$3,'Employee Profile (2)'!$B$4:$B$50,0))*$Q12,"")</f>
        <v>200.90416047548294</v>
      </c>
      <c r="Q12" s="148">
        <f>IFERROR(SUMIFS('Employee Profile (2)'!M$4:M$50,'Employee Profile (2)'!$B$4:$B$50,Results!$D$3),"")</f>
        <v>8.803863298662705E-2</v>
      </c>
      <c r="R12" s="150" t="s">
        <v>630</v>
      </c>
      <c r="S12" s="144">
        <f>IFERROR(INDEX('Employee Profile (2)'!$AC$4:$AC$50,MATCH(Results!$D$3,'Employee Profile (2)'!$B$4:$B$50,0))*$T12,"")</f>
        <v>94.094353640416045</v>
      </c>
      <c r="T12" s="147">
        <f>IFERROR(SUMIFS('Employee Profile (2)'!Q$4:Q$50,'Employee Profile (2)'!$B$4:$B$50,Results!$D$3),"")</f>
        <v>4.1233283803863298E-2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341.6218424962853</v>
      </c>
      <c r="Z12" s="147">
        <f>IFERROR(SUMIFS('Employee Profile (2)'!Y$4:Y$50,'Employee Profile (2)'!$B$4:$B$50,Results!$D$3),"")</f>
        <v>0.14970282317979197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23</v>
      </c>
      <c r="I13" s="158">
        <v>52</v>
      </c>
      <c r="J13" s="158">
        <v>59</v>
      </c>
      <c r="L13" s="150" t="s">
        <v>660</v>
      </c>
      <c r="M13" s="143">
        <f>IFERROR(INDEX('Employee Profile (2)'!$AC$4:$AC$50,MATCH(Results!$D$3,'Employee Profile (2)'!$B$4:$B$50,0))*$N13,"")</f>
        <v>118.67756315007431</v>
      </c>
      <c r="N13" s="148">
        <f>IFERROR(SUMIFS('Employee Profile (2)'!G$4:G$50,'Employee Profile (2)'!$B$4:$B$50,Results!$D$3),"")</f>
        <v>5.2005943536404163E-2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1168.1263001485884</v>
      </c>
      <c r="T13" s="147">
        <f>IFERROR(SUMIFS('Employee Profile (2)'!R$4:R$50,'Employee Profile (2)'!$B$4:$B$50,Results!$D$3),"")</f>
        <v>0.51188707280832091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313.6478454680535</v>
      </c>
      <c r="Z13" s="147">
        <f>IFERROR(SUMIFS('Employee Profile (2)'!Z$4:Z$50,'Employee Profile (2)'!$B$4:$B$50,Results!$D$3),"")</f>
        <v>0.13744427934621101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16.953937592867756</v>
      </c>
      <c r="N14" s="148">
        <f>IFERROR(SUMIFS('Employee Profile (2)'!H$4:H$50,'Employee Profile (2)'!$B$4:$B$50,Results!$D$3),"")</f>
        <v>7.429420505200594E-3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23</v>
      </c>
      <c r="I15" s="112">
        <f t="shared" si="0"/>
        <v>52</v>
      </c>
      <c r="J15" s="112">
        <f t="shared" si="0"/>
        <v>59</v>
      </c>
      <c r="L15" s="150" t="s">
        <v>53</v>
      </c>
      <c r="M15" s="143">
        <f>IFERROR(INDEX('Employee Profile (2)'!$AC$4:$AC$50,MATCH(Results!$D$3,'Employee Profile (2)'!$B$4:$B$50,0))*$N15,"")</f>
        <v>313.6478454680535</v>
      </c>
      <c r="N15" s="148">
        <f>IFERROR(SUMIFS('Employee Profile (2)'!I$4:I$50,'Employee Profile (2)'!$B$4:$B$50,Results!$D$3),"")</f>
        <v>0.13744427934621101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23</v>
      </c>
      <c r="I16" s="82">
        <f>SUMIFS($AE$64:$AE$509,$C$64:$C$509,"Total")</f>
        <v>52</v>
      </c>
      <c r="J16" s="82">
        <f>SUMIFS($AM$64:$AM$509,$C$64:$C$509,"Total")</f>
        <v>59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867</v>
      </c>
      <c r="G29" s="87">
        <f t="shared" ref="G29:G44" si="4">SUMIFS($K$64:$K$509,$A$64:$A$509,B29,$C$64:$C$509,"Total")</f>
        <v>424.69550173010379</v>
      </c>
      <c r="H29" s="83">
        <f t="shared" ref="H29:H44" si="5">SUMIFS($J$64:$J$509,$A$64:$A$509,B29,$C$64:$C$509,"Total")</f>
        <v>368211</v>
      </c>
      <c r="I29" s="21">
        <f t="shared" ref="I29:I44" si="6">-SUMIFS($O$64:$O$509,$A$64:$A$509,$B29,$C$64:$C$509,"Total")+SUMIFS($N$64:$N$509,$A$64:$A$509,$B29,$C$64:$C$509,"Total")</f>
        <v>217</v>
      </c>
      <c r="J29" s="88">
        <f t="shared" ref="J29:J44" si="7">SUMIFS($P$64:$P$509,$A$64:$A$509,$B29,$C$64:$C$509,"Total")</f>
        <v>1084</v>
      </c>
      <c r="K29" s="88">
        <f t="shared" ref="K29:K44" si="8">SUMIFS($M$64:$M$509,$A$64:$A$509,$B29,$C$64:$C$509,"Total")</f>
        <v>468.53956251732711</v>
      </c>
      <c r="L29" s="88">
        <f t="shared" ref="L29:L44" si="9">SUMIFS($R$64:$R$509,$A$64:$A$509,$B29,$C$64:$C$509,"Total")+SUMIFS($Q$64:$Q$509,$A$64:$A$509,$B29,$C$64:$C$509,"Total")</f>
        <v>109558.59360278786</v>
      </c>
      <c r="M29" s="88">
        <f t="shared" ref="M29:M44" si="10">SUMIFS($S$64:$S$509,$A$64:$A$509,$B29,$C$64:$C$509,"Total")</f>
        <v>507896.88576878258</v>
      </c>
      <c r="N29" s="88">
        <f t="shared" ref="N29:N44" si="11">SUMIFS($S$64:$S$509,$A$64:$A$509,$B29,$C$64:$C$509,"Compensation Budget")</f>
        <v>401780</v>
      </c>
      <c r="O29" s="89">
        <f t="shared" ref="O29:O44" si="12">SUMIFS($S$64:$S$509,$A$64:$A$509,$B29,$C$64:$C$509,"Under/(Over)")</f>
        <v>-106116.88576878258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1084</v>
      </c>
      <c r="R29" s="88">
        <f t="shared" ref="R29:R44" si="15">SUMIFS($U$64:$U$509,$A$64:$A$509,$B29,$C$64:$C$509,"Total")</f>
        <v>507.58124780454153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550218.07262012304</v>
      </c>
      <c r="U29" s="88">
        <f t="shared" ref="U29:U44" si="18">SUMIFS($AA$64:$AA$509,$A$64:$A$509,$B29,$C$64:$C$509,"Compensation Budget")</f>
        <v>421086</v>
      </c>
      <c r="V29" s="89">
        <f t="shared" ref="V29:V44" si="19">SUMIFS($AA$64:$AA$509,$A$64:$A$509,$B29,$C$64:$C$509,"Under/(Over)")</f>
        <v>-129132.07262012304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1084</v>
      </c>
      <c r="Y29" s="88">
        <f t="shared" ref="Y29:Y44" si="22">SUMIFS($AC$64:$AC$509,$A$64:$A$509,$B29,$C$64:$C$509,"Total")</f>
        <v>549.37109739610628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595518.26957737922</v>
      </c>
      <c r="AB29" s="88">
        <f t="shared" ref="AB29:AB44" si="25">SUMIFS($AI$64:$AI$509,$A$64:$A$509,$B29,$C$64:$C$509,"Compensation Budget")</f>
        <v>472179</v>
      </c>
      <c r="AC29" s="89">
        <f t="shared" ref="AC29:AC44" si="26">SUMIFS($AI$64:$AI$509,$A$64:$A$509,$B29,$C$64:$C$509,"Under/(Over)")</f>
        <v>-123339.26957737922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1084</v>
      </c>
      <c r="AF29" s="88">
        <f t="shared" ref="AF29:AF44" si="29">SUMIFS($AK$64:$AK$509,$A$64:$A$509,$B29,$C$64:$C$509,"Total")</f>
        <v>593.49777633915369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643351.58955164265</v>
      </c>
      <c r="AI29" s="88">
        <f t="shared" ref="AI29:AI44" si="32">SUMIFS($AQ$64:$AQ$509,$A$64:$A$509,$B29,$C$64:$C$509,"Compensation Budget")</f>
        <v>508064.60400000005</v>
      </c>
      <c r="AJ29" s="89">
        <f t="shared" ref="AJ29:AJ44" si="33">SUMIFS($AQ$64:$AQ$509,$A$64:$A$509,$B29,$C$64:$C$509,"Under/(Over)")</f>
        <v>-135286.9855516426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International Relations</v>
      </c>
      <c r="D30" s="222">
        <f t="shared" si="2"/>
        <v>0</v>
      </c>
      <c r="E30" s="223">
        <f t="shared" si="2"/>
        <v>0</v>
      </c>
      <c r="F30" s="80">
        <f t="shared" si="3"/>
        <v>3274</v>
      </c>
      <c r="G30" s="155">
        <f t="shared" si="4"/>
        <v>582.2313466737935</v>
      </c>
      <c r="H30" s="155">
        <f t="shared" si="5"/>
        <v>1906225.4290100001</v>
      </c>
      <c r="I30" s="23">
        <f t="shared" si="6"/>
        <v>215</v>
      </c>
      <c r="J30" s="22">
        <f t="shared" si="7"/>
        <v>3489</v>
      </c>
      <c r="K30" s="22">
        <f t="shared" si="8"/>
        <v>606.33723453016069</v>
      </c>
      <c r="L30" s="22">
        <f t="shared" si="9"/>
        <v>124084.92274932831</v>
      </c>
      <c r="M30" s="22">
        <f t="shared" si="10"/>
        <v>2115510.6112757307</v>
      </c>
      <c r="N30" s="22">
        <f t="shared" si="11"/>
        <v>1834429</v>
      </c>
      <c r="O30" s="91">
        <f t="shared" si="12"/>
        <v>-281081.61127573065</v>
      </c>
      <c r="P30" s="23">
        <f t="shared" si="13"/>
        <v>-19</v>
      </c>
      <c r="Q30" s="22">
        <f t="shared" si="14"/>
        <v>3470</v>
      </c>
      <c r="R30" s="22">
        <f t="shared" si="15"/>
        <v>648.43863063624906</v>
      </c>
      <c r="S30" s="22">
        <f t="shared" si="16"/>
        <v>-7643.4665761378483</v>
      </c>
      <c r="T30" s="22">
        <f t="shared" si="17"/>
        <v>2250082.0483077844</v>
      </c>
      <c r="U30" s="22">
        <f t="shared" si="18"/>
        <v>1633446</v>
      </c>
      <c r="V30" s="91">
        <f t="shared" si="19"/>
        <v>-616636.04830778437</v>
      </c>
      <c r="W30" s="23">
        <f t="shared" si="20"/>
        <v>-40</v>
      </c>
      <c r="X30" s="22">
        <f t="shared" si="21"/>
        <v>3430</v>
      </c>
      <c r="Y30" s="22">
        <f t="shared" si="22"/>
        <v>694.56168776136928</v>
      </c>
      <c r="Z30" s="22">
        <f t="shared" si="23"/>
        <v>-17040.907587642065</v>
      </c>
      <c r="AA30" s="22">
        <f t="shared" si="24"/>
        <v>2382346.5890214965</v>
      </c>
      <c r="AB30" s="22">
        <f t="shared" si="25"/>
        <v>1667536</v>
      </c>
      <c r="AC30" s="91">
        <f t="shared" si="26"/>
        <v>-714810.58902149647</v>
      </c>
      <c r="AD30" s="23">
        <f t="shared" si="27"/>
        <v>-46</v>
      </c>
      <c r="AE30" s="22">
        <f t="shared" si="28"/>
        <v>3384</v>
      </c>
      <c r="AF30" s="22">
        <f t="shared" si="29"/>
        <v>743.29794644320191</v>
      </c>
      <c r="AG30" s="22">
        <f t="shared" si="30"/>
        <v>-20714.075218158312</v>
      </c>
      <c r="AH30" s="22">
        <f t="shared" si="31"/>
        <v>2515320.2507637953</v>
      </c>
      <c r="AI30" s="22">
        <f t="shared" si="32"/>
        <v>1794268.736</v>
      </c>
      <c r="AJ30" s="91">
        <f t="shared" si="33"/>
        <v>-721051.51476379531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International Cooperation</v>
      </c>
      <c r="D31" s="222">
        <f t="shared" si="2"/>
        <v>0</v>
      </c>
      <c r="E31" s="223">
        <f t="shared" si="2"/>
        <v>0</v>
      </c>
      <c r="F31" s="80">
        <f t="shared" si="3"/>
        <v>408</v>
      </c>
      <c r="G31" s="155">
        <f t="shared" si="4"/>
        <v>657.33088235294122</v>
      </c>
      <c r="H31" s="155">
        <f t="shared" si="5"/>
        <v>268191</v>
      </c>
      <c r="I31" s="23">
        <f t="shared" si="6"/>
        <v>50</v>
      </c>
      <c r="J31" s="22">
        <f t="shared" si="7"/>
        <v>458</v>
      </c>
      <c r="K31" s="22">
        <f t="shared" si="8"/>
        <v>684.75415004556373</v>
      </c>
      <c r="L31" s="22">
        <f t="shared" si="9"/>
        <v>31367.543914519512</v>
      </c>
      <c r="M31" s="22">
        <f t="shared" si="10"/>
        <v>313617.4007208682</v>
      </c>
      <c r="N31" s="22">
        <f t="shared" si="11"/>
        <v>384632</v>
      </c>
      <c r="O31" s="91">
        <f t="shared" si="12"/>
        <v>71014.599279131799</v>
      </c>
      <c r="P31" s="23">
        <f t="shared" si="13"/>
        <v>-4</v>
      </c>
      <c r="Q31" s="22">
        <f t="shared" si="14"/>
        <v>454</v>
      </c>
      <c r="R31" s="22">
        <f t="shared" si="15"/>
        <v>735.32318315852331</v>
      </c>
      <c r="S31" s="22">
        <f t="shared" si="16"/>
        <v>-1921.4639517460319</v>
      </c>
      <c r="T31" s="22">
        <f t="shared" si="17"/>
        <v>333836.7251539696</v>
      </c>
      <c r="U31" s="22">
        <f t="shared" si="18"/>
        <v>355309</v>
      </c>
      <c r="V31" s="91">
        <f t="shared" si="19"/>
        <v>21472.274846030399</v>
      </c>
      <c r="W31" s="23">
        <f t="shared" si="20"/>
        <v>-12</v>
      </c>
      <c r="X31" s="22">
        <f t="shared" si="21"/>
        <v>442</v>
      </c>
      <c r="Y31" s="22">
        <f t="shared" si="22"/>
        <v>794.17267834154245</v>
      </c>
      <c r="Z31" s="22">
        <f t="shared" si="23"/>
        <v>-6104.4909746971425</v>
      </c>
      <c r="AA31" s="22">
        <f t="shared" si="24"/>
        <v>351024.32382696174</v>
      </c>
      <c r="AB31" s="22">
        <f t="shared" si="25"/>
        <v>346658</v>
      </c>
      <c r="AC31" s="91">
        <f t="shared" si="26"/>
        <v>-4366.3238269617432</v>
      </c>
      <c r="AD31" s="23">
        <f t="shared" si="27"/>
        <v>-13</v>
      </c>
      <c r="AE31" s="22">
        <f t="shared" si="28"/>
        <v>429</v>
      </c>
      <c r="AF31" s="22">
        <f t="shared" si="29"/>
        <v>857.63716271454643</v>
      </c>
      <c r="AG31" s="22">
        <f t="shared" si="30"/>
        <v>-6990.1508736094529</v>
      </c>
      <c r="AH31" s="22">
        <f t="shared" si="31"/>
        <v>367926.34280454041</v>
      </c>
      <c r="AI31" s="22">
        <f t="shared" si="32"/>
        <v>373004.00800000003</v>
      </c>
      <c r="AJ31" s="91">
        <f t="shared" si="33"/>
        <v>5077.6651954596164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Public Diplomacy and Protocol Services</v>
      </c>
      <c r="D32" s="222">
        <f t="shared" si="2"/>
        <v>0</v>
      </c>
      <c r="E32" s="223">
        <f t="shared" si="2"/>
        <v>0</v>
      </c>
      <c r="F32" s="80">
        <f t="shared" si="3"/>
        <v>319</v>
      </c>
      <c r="G32" s="155">
        <f t="shared" si="4"/>
        <v>478.35736677115989</v>
      </c>
      <c r="H32" s="155">
        <f t="shared" si="5"/>
        <v>152596</v>
      </c>
      <c r="I32" s="23">
        <f t="shared" si="6"/>
        <v>75</v>
      </c>
      <c r="J32" s="22">
        <f t="shared" si="7"/>
        <v>394</v>
      </c>
      <c r="K32" s="22">
        <f t="shared" si="8"/>
        <v>467.50075716958816</v>
      </c>
      <c r="L32" s="22">
        <f t="shared" si="9"/>
        <v>20932.352013626303</v>
      </c>
      <c r="M32" s="22">
        <f t="shared" si="10"/>
        <v>184195.29832481773</v>
      </c>
      <c r="N32" s="22">
        <f t="shared" si="11"/>
        <v>146513</v>
      </c>
      <c r="O32" s="91">
        <f t="shared" si="12"/>
        <v>-37682.298324817733</v>
      </c>
      <c r="P32" s="23">
        <f t="shared" si="13"/>
        <v>0</v>
      </c>
      <c r="Q32" s="22">
        <f t="shared" si="14"/>
        <v>394</v>
      </c>
      <c r="R32" s="22">
        <f t="shared" si="15"/>
        <v>499.61393061416652</v>
      </c>
      <c r="S32" s="22">
        <f t="shared" si="16"/>
        <v>0</v>
      </c>
      <c r="T32" s="22">
        <f t="shared" si="17"/>
        <v>196847.88866198162</v>
      </c>
      <c r="U32" s="22">
        <f t="shared" si="18"/>
        <v>153673</v>
      </c>
      <c r="V32" s="91">
        <f t="shared" si="19"/>
        <v>-43174.888661981618</v>
      </c>
      <c r="W32" s="23">
        <f t="shared" si="20"/>
        <v>0</v>
      </c>
      <c r="X32" s="22">
        <f t="shared" si="21"/>
        <v>394</v>
      </c>
      <c r="Y32" s="22">
        <f t="shared" si="22"/>
        <v>533.4388071887364</v>
      </c>
      <c r="Z32" s="22">
        <f t="shared" si="23"/>
        <v>0</v>
      </c>
      <c r="AA32" s="22">
        <f t="shared" si="24"/>
        <v>210174.89003236213</v>
      </c>
      <c r="AB32" s="22">
        <f t="shared" si="25"/>
        <v>169447</v>
      </c>
      <c r="AC32" s="91">
        <f t="shared" si="26"/>
        <v>-40727.890032362135</v>
      </c>
      <c r="AD32" s="23">
        <f t="shared" si="27"/>
        <v>0</v>
      </c>
      <c r="AE32" s="22">
        <f t="shared" si="28"/>
        <v>394</v>
      </c>
      <c r="AF32" s="22">
        <f t="shared" si="29"/>
        <v>568.49257727393729</v>
      </c>
      <c r="AG32" s="22">
        <f t="shared" si="30"/>
        <v>0</v>
      </c>
      <c r="AH32" s="22">
        <f t="shared" si="31"/>
        <v>223986.07544593129</v>
      </c>
      <c r="AI32" s="22">
        <f t="shared" si="32"/>
        <v>182324.97200000001</v>
      </c>
      <c r="AJ32" s="91">
        <f t="shared" si="33"/>
        <v>-41661.10344593128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International Transfers</v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4868</v>
      </c>
      <c r="G45" s="92">
        <f>IFERROR(H45/F45,0)</f>
        <v>553.66134531840589</v>
      </c>
      <c r="H45" s="92">
        <f>SUM(H29:H38)</f>
        <v>2695223.4290100001</v>
      </c>
      <c r="I45" s="25">
        <f>SUM(I29:I38)</f>
        <v>557</v>
      </c>
      <c r="J45" s="92">
        <f>SUM(J29:J38)</f>
        <v>5425</v>
      </c>
      <c r="K45" s="92">
        <f>IFERROR(M45/J45,0)</f>
        <v>575.34012831155746</v>
      </c>
      <c r="L45" s="92">
        <f t="shared" ref="L45:Q45" si="34">SUM(L29:L38)</f>
        <v>285943.41228026204</v>
      </c>
      <c r="M45" s="92">
        <f t="shared" si="34"/>
        <v>3121220.1960901991</v>
      </c>
      <c r="N45" s="92">
        <f>INDEX('ENE17'!$C$2:$C$48,MATCH(Results!$D$3,'ENE17'!$A$2:$A$48,0))</f>
        <v>2767354</v>
      </c>
      <c r="O45" s="129">
        <f>N45-M45</f>
        <v>-353866.19609019905</v>
      </c>
      <c r="P45" s="25">
        <f t="shared" si="34"/>
        <v>-23</v>
      </c>
      <c r="Q45" s="24">
        <f t="shared" si="34"/>
        <v>5402</v>
      </c>
      <c r="R45" s="92">
        <f>IFERROR(T45/Q45,0)</f>
        <v>616.620646935183</v>
      </c>
      <c r="S45" s="24">
        <f>SUM(S29:S38)</f>
        <v>-9564.9305278838801</v>
      </c>
      <c r="T45" s="24">
        <f>SUM(T29:T38)</f>
        <v>3330984.7347438587</v>
      </c>
      <c r="U45" s="207">
        <f>INDEX('ENE17'!$D$2:$D$48,MATCH(Results!$D$3,'ENE17'!$A$2:$A$48,0))</f>
        <v>2914027</v>
      </c>
      <c r="V45" s="24">
        <f>U45-T45</f>
        <v>-416957.73474385869</v>
      </c>
      <c r="W45" s="25">
        <f t="shared" ref="W45:X45" si="35">SUM(W29:W38)</f>
        <v>-52</v>
      </c>
      <c r="X45" s="24">
        <f t="shared" si="35"/>
        <v>5350</v>
      </c>
      <c r="Y45" s="92">
        <f>IFERROR(AA45/X45,0)</f>
        <v>661.50730326321491</v>
      </c>
      <c r="Z45" s="24">
        <f t="shared" ref="Z45:AA45" si="36">SUM(Z29:Z38)</f>
        <v>-23145.398562339207</v>
      </c>
      <c r="AA45" s="24">
        <f t="shared" si="36"/>
        <v>3539064.0724581997</v>
      </c>
      <c r="AB45" s="207">
        <f>INDEX('ENE17'!$E$2:$E$48,MATCH(Results!$D$3,'ENE17'!$A$2:$A$48,0))</f>
        <v>2964489</v>
      </c>
      <c r="AC45" s="24">
        <f>AB45-AA45</f>
        <v>-574575.07245819969</v>
      </c>
      <c r="AD45" s="25">
        <f t="shared" ref="AD45:AE45" si="37">SUM(AD29:AD38)</f>
        <v>-59</v>
      </c>
      <c r="AE45" s="24">
        <f t="shared" si="37"/>
        <v>5291</v>
      </c>
      <c r="AF45" s="92">
        <f>IFERROR(AH45/AE45,0)</f>
        <v>708.86113373009061</v>
      </c>
      <c r="AG45" s="24">
        <f t="shared" ref="AG45:AH45" si="38">SUM(AG29:AG38)</f>
        <v>-27704.226091767763</v>
      </c>
      <c r="AH45" s="24">
        <f t="shared" si="38"/>
        <v>3750584.2585659097</v>
      </c>
      <c r="AI45" s="207">
        <f>INDEX('ENE17'!$F$2:$F$48,MATCH(Results!$D$3,'ENE17'!$A$2:$A$48,0))</f>
        <v>2874494</v>
      </c>
      <c r="AJ45" s="24">
        <f>AI45-AH45</f>
        <v>-876090.25856590969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371</v>
      </c>
      <c r="G51" s="193">
        <f>IFERROR(H51/F51,"")</f>
        <v>215.68733153638814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80020</v>
      </c>
      <c r="I51" s="97">
        <f>SUMIFS($N$64:$N$509,$B$64:$B$509,$B51)-SUMIFS($O$64:$O$509,$B$64:$B$509,$B51)</f>
        <v>53</v>
      </c>
      <c r="J51" s="80">
        <f>SUMIFS($P$64:$P$509,$B$64:$B$509,$B51)</f>
        <v>424</v>
      </c>
      <c r="K51" s="80">
        <f>IFERROR(M51/J51,0)</f>
        <v>237.07731903844999</v>
      </c>
      <c r="L51" s="80">
        <f>SUMIFS($R$64:$R$509,$B$64:$B$509,$B51)+SUMIFS($Q$64:$Q$509,$B$64:$B$509,$B51)</f>
        <v>13647.471187134124</v>
      </c>
      <c r="M51" s="98">
        <f>SUMIFS($S$64:$S$509,$B$64:$B$509,$B51)</f>
        <v>100520.7832723028</v>
      </c>
      <c r="N51" s="80">
        <f>SUMIFS($V$64:$V$509,$B$64:$B$509,$B51)-SUMIFS($W$64:$W$509,$B$64:$B$509,$B51)</f>
        <v>0</v>
      </c>
      <c r="O51" s="80">
        <f>SUMIFS($X$64:$X$509,$B$64:$B$509,$B51)</f>
        <v>424</v>
      </c>
      <c r="P51" s="80">
        <f>IFERROR(R51/O51,0)</f>
        <v>256.52183705075601</v>
      </c>
      <c r="Q51" s="80">
        <f>SUMIFS($Z$64:$Z$509,$B$64:$B$509,$B51)+SUMIFS($Y$64:$Y$509,$B$64:$B$509,$B51)</f>
        <v>0</v>
      </c>
      <c r="R51" s="80">
        <f>SUMIFS($AA$64:$AA$509,$B$64:$B$509,$B51)</f>
        <v>108765.25890952055</v>
      </c>
      <c r="S51" s="97">
        <f>SUMIFS($AD$64:$AD$509,$B$64:$B$509,$B51)-SUMIFS($AE$64:$AE$509,$B$64:$B$509,$B51)</f>
        <v>0</v>
      </c>
      <c r="T51" s="80">
        <f>SUMIFS($AF$64:$AF$509,$B$64:$B$509,$B51)</f>
        <v>424</v>
      </c>
      <c r="U51" s="80">
        <f>IFERROR(W51/T51,0)</f>
        <v>277.30983584493549</v>
      </c>
      <c r="V51" s="80">
        <f>SUMIFS($AH$64:$AH$509,$B$64:$B$509,$B51)+SUMIFS($AG$64:$AG$509,$B$64:$B$509,$B51)</f>
        <v>0</v>
      </c>
      <c r="W51" s="98">
        <f>SUMIFS($AI$64:$AI$509,$B$64:$B$509,$B51)</f>
        <v>117579.37039825265</v>
      </c>
      <c r="X51" s="80">
        <f>SUMIFS($AL$64:$AL$509,$B$64:$B$509,$B51)-SUMIFS($AM$64:$AM$509,$B$64:$B$509,$B51)</f>
        <v>0</v>
      </c>
      <c r="Y51" s="80">
        <f>SUMIFS($AN$64:$AN$509,$B$64:$B$509,$B51)</f>
        <v>424</v>
      </c>
      <c r="Z51" s="80">
        <f>IFERROR(AB51/Y51,0)</f>
        <v>299.23030473681712</v>
      </c>
      <c r="AA51" s="80">
        <f>SUMIFS($AP$64:$AP$509,$B$64:$B$509,$B51)+SUMIFS($AO$64:$AO$509,$B$64:$B$509,$B51)</f>
        <v>0</v>
      </c>
      <c r="AB51" s="98">
        <f>SUMIFS($AQ$64:$AQ$509,$B$64:$B$509,$B51)</f>
        <v>126873.64920841045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1237</v>
      </c>
      <c r="G52" s="192">
        <f t="shared" ref="G52:G55" si="40">IFERROR(H52/F52,"")</f>
        <v>443.55860953920774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548682</v>
      </c>
      <c r="I52" s="97">
        <f>SUMIFS($N$64:$N$509,$B$64:$B$509,$B52)-SUMIFS($O$64:$O$509,$B$64:$B$509,$B52)</f>
        <v>209</v>
      </c>
      <c r="J52" s="80">
        <f>SUMIFS($P$64:$P$509,$B$64:$B$509,$B52)</f>
        <v>1446</v>
      </c>
      <c r="K52" s="80">
        <f t="shared" ref="K52:K56" si="41">IFERROR(M52/J52,0)</f>
        <v>473.96184071725088</v>
      </c>
      <c r="L52" s="80">
        <f>SUMIFS($R$64:$R$509,$B$64:$B$509,$B52)+SUMIFS($Q$64:$Q$509,$B$64:$B$509,$B52)</f>
        <v>88717.224437187397</v>
      </c>
      <c r="M52" s="98">
        <f>SUMIFS($S$64:$S$509,$B$64:$B$509,$B52)</f>
        <v>685348.82167714473</v>
      </c>
      <c r="N52" s="80">
        <f>SUMIFS($V$64:$V$509,$B$64:$B$509,$B52)-SUMIFS($W$64:$W$509,$B$64:$B$509,$B52)</f>
        <v>0</v>
      </c>
      <c r="O52" s="80">
        <f>SUMIFS($X$64:$X$509,$B$64:$B$509,$B52)</f>
        <v>1446</v>
      </c>
      <c r="P52" s="80">
        <f t="shared" ref="P52:P55" si="42">IFERROR(R52/O52,0)</f>
        <v>513.31126699433764</v>
      </c>
      <c r="Q52" s="80">
        <f>SUMIFS($Z$64:$Z$509,$B$64:$B$509,$B52)+SUMIFS($Y$64:$Y$509,$B$64:$B$509,$B52)</f>
        <v>0</v>
      </c>
      <c r="R52" s="80">
        <f>SUMIFS($AA$64:$AA$509,$B$64:$B$509,$B52)</f>
        <v>742248.09207381227</v>
      </c>
      <c r="S52" s="97">
        <f>SUMIFS($AD$64:$AD$509,$B$64:$B$509,$B52)-SUMIFS($AE$64:$AE$509,$B$64:$B$509,$B52)</f>
        <v>0</v>
      </c>
      <c r="T52" s="80">
        <f>SUMIFS($AF$64:$AF$509,$B$64:$B$509,$B52)</f>
        <v>1446</v>
      </c>
      <c r="U52" s="80">
        <f t="shared" ref="U52:U55" si="43">IFERROR(W52/T52,0)</f>
        <v>555.42325128168841</v>
      </c>
      <c r="V52" s="80">
        <f>SUMIFS($AH$64:$AH$509,$B$64:$B$509,$B52)+SUMIFS($AG$64:$AG$509,$B$64:$B$509,$B52)</f>
        <v>0</v>
      </c>
      <c r="W52" s="98">
        <f>SUMIFS($AI$64:$AI$509,$B$64:$B$509,$B52)</f>
        <v>803142.0213533215</v>
      </c>
      <c r="X52" s="80">
        <f>SUMIFS($AL$64:$AL$509,$B$64:$B$509,$B52)-SUMIFS($AM$64:$AM$509,$B$64:$B$509,$B52)</f>
        <v>0</v>
      </c>
      <c r="Y52" s="80">
        <f>SUMIFS($AN$64:$AN$509,$B$64:$B$509,$B52)</f>
        <v>1446</v>
      </c>
      <c r="Z52" s="80">
        <f t="shared" ref="Z52:Z55" si="44">IFERROR(AB52/Y52,0)</f>
        <v>599.88219595716623</v>
      </c>
      <c r="AA52" s="80">
        <f>SUMIFS($AP$64:$AP$509,$B$64:$B$509,$B52)+SUMIFS($AO$64:$AO$509,$B$64:$B$509,$B52)</f>
        <v>0</v>
      </c>
      <c r="AB52" s="98">
        <f>SUMIFS($AQ$64:$AQ$509,$B$64:$B$509,$B52)</f>
        <v>867429.65535406244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382</v>
      </c>
      <c r="G53" s="192">
        <f t="shared" si="40"/>
        <v>758.13724871727743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289608.42900999996</v>
      </c>
      <c r="I53" s="97">
        <f>SUMIFS($N$64:$N$509,$B$64:$B$509,$B53)-SUMIFS($O$64:$O$509,$B$64:$B$509,$B53)</f>
        <v>70</v>
      </c>
      <c r="J53" s="80">
        <f>SUMIFS($P$64:$P$509,$B$64:$B$509,$B53)</f>
        <v>452</v>
      </c>
      <c r="K53" s="80">
        <f t="shared" si="41"/>
        <v>793.11125925757619</v>
      </c>
      <c r="L53" s="80">
        <f>SUMIFS($R$64:$R$509,$B$64:$B$509,$B53)+SUMIFS($Q$64:$Q$509,$B$64:$B$509,$B53)</f>
        <v>46732.11452856932</v>
      </c>
      <c r="M53" s="98">
        <f>SUMIFS($S$64:$S$509,$B$64:$B$509,$B53)</f>
        <v>358486.28918442444</v>
      </c>
      <c r="N53" s="80">
        <f>SUMIFS($V$64:$V$509,$B$64:$B$509,$B53)-SUMIFS($W$64:$W$509,$B$64:$B$509,$B53)</f>
        <v>0</v>
      </c>
      <c r="O53" s="80">
        <f>SUMIFS($X$64:$X$509,$B$64:$B$509,$B53)</f>
        <v>452</v>
      </c>
      <c r="P53" s="80">
        <f t="shared" si="42"/>
        <v>859.87497881871514</v>
      </c>
      <c r="Q53" s="80">
        <f>SUMIFS($Z$64:$Z$509,$B$64:$B$509,$B53)+SUMIFS($Y$64:$Y$509,$B$64:$B$509,$B53)</f>
        <v>0</v>
      </c>
      <c r="R53" s="80">
        <f>SUMIFS($AA$64:$AA$509,$B$64:$B$509,$B53)</f>
        <v>388663.49042605923</v>
      </c>
      <c r="S53" s="97">
        <f>SUMIFS($AD$64:$AD$509,$B$64:$B$509,$B53)-SUMIFS($AE$64:$AE$509,$B$64:$B$509,$B53)</f>
        <v>0</v>
      </c>
      <c r="T53" s="80">
        <f>SUMIFS($AF$64:$AF$509,$B$64:$B$509,$B53)</f>
        <v>452</v>
      </c>
      <c r="U53" s="80">
        <f t="shared" si="43"/>
        <v>931.40317010556146</v>
      </c>
      <c r="V53" s="80">
        <f>SUMIFS($AH$64:$AH$509,$B$64:$B$509,$B53)+SUMIFS($AG$64:$AG$509,$B$64:$B$509,$B53)</f>
        <v>0</v>
      </c>
      <c r="W53" s="98">
        <f>SUMIFS($AI$64:$AI$509,$B$64:$B$509,$B53)</f>
        <v>420994.23288771376</v>
      </c>
      <c r="X53" s="80">
        <f>SUMIFS($AL$64:$AL$509,$B$64:$B$509,$B53)-SUMIFS($AM$64:$AM$509,$B$64:$B$509,$B53)</f>
        <v>0</v>
      </c>
      <c r="Y53" s="80">
        <f>SUMIFS($AN$64:$AN$509,$B$64:$B$509,$B53)</f>
        <v>452</v>
      </c>
      <c r="Z53" s="80">
        <f t="shared" si="44"/>
        <v>1007.010539163736</v>
      </c>
      <c r="AA53" s="80">
        <f>SUMIFS($AP$64:$AP$509,$B$64:$B$509,$B53)+SUMIFS($AO$64:$AO$509,$B$64:$B$509,$B53)</f>
        <v>0</v>
      </c>
      <c r="AB53" s="98">
        <f>SUMIFS($AQ$64:$AQ$509,$B$64:$B$509,$B53)</f>
        <v>455168.76370200864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304</v>
      </c>
      <c r="G54" s="192">
        <f t="shared" si="40"/>
        <v>1050.3355263157894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319302</v>
      </c>
      <c r="I54" s="97">
        <f>SUMIFS($N$64:$N$509,$B$64:$B$509,$B54)-SUMIFS($O$64:$O$509,$B$64:$B$509,$B54)</f>
        <v>48</v>
      </c>
      <c r="J54" s="80">
        <f>SUMIFS($P$64:$P$509,$B$64:$B$509,$B54)</f>
        <v>352</v>
      </c>
      <c r="K54" s="80">
        <f t="shared" si="41"/>
        <v>1083.4643399566223</v>
      </c>
      <c r="L54" s="80">
        <f>SUMIFS($R$64:$R$509,$B$64:$B$509,$B54)+SUMIFS($Q$64:$Q$509,$B$64:$B$509,$B54)</f>
        <v>47073.910835775139</v>
      </c>
      <c r="M54" s="98">
        <f>SUMIFS($S$64:$S$509,$B$64:$B$509,$B54)</f>
        <v>381379.44766473107</v>
      </c>
      <c r="N54" s="80">
        <f>SUMIFS($V$64:$V$509,$B$64:$B$509,$B54)-SUMIFS($W$64:$W$509,$B$64:$B$509,$B54)</f>
        <v>0</v>
      </c>
      <c r="O54" s="80">
        <f>SUMIFS($X$64:$X$509,$B$64:$B$509,$B54)</f>
        <v>352</v>
      </c>
      <c r="P54" s="80">
        <f t="shared" si="42"/>
        <v>1163.8036315717573</v>
      </c>
      <c r="Q54" s="80">
        <f>SUMIFS($Z$64:$Z$509,$B$64:$B$509,$B54)+SUMIFS($Y$64:$Y$509,$B$64:$B$509,$B54)</f>
        <v>0</v>
      </c>
      <c r="R54" s="80">
        <f>SUMIFS($AA$64:$AA$509,$B$64:$B$509,$B54)</f>
        <v>409658.87831325852</v>
      </c>
      <c r="S54" s="97">
        <f>SUMIFS($AD$64:$AD$509,$B$64:$B$509,$B54)-SUMIFS($AE$64:$AE$509,$B$64:$B$509,$B54)</f>
        <v>0</v>
      </c>
      <c r="T54" s="80">
        <f>SUMIFS($AF$64:$AF$509,$B$64:$B$509,$B54)</f>
        <v>352</v>
      </c>
      <c r="U54" s="80">
        <f t="shared" si="43"/>
        <v>1248.9418735050897</v>
      </c>
      <c r="V54" s="80">
        <f>SUMIFS($AH$64:$AH$509,$B$64:$B$509,$B54)+SUMIFS($AG$64:$AG$509,$B$64:$B$509,$B54)</f>
        <v>0</v>
      </c>
      <c r="W54" s="98">
        <f>SUMIFS($AI$64:$AI$509,$B$64:$B$509,$B54)</f>
        <v>439627.53947379161</v>
      </c>
      <c r="X54" s="80">
        <f>SUMIFS($AL$64:$AL$509,$B$64:$B$509,$B54)-SUMIFS($AM$64:$AM$509,$B$64:$B$509,$B54)</f>
        <v>0</v>
      </c>
      <c r="Y54" s="80">
        <f>SUMIFS($AN$64:$AN$509,$B$64:$B$509,$B54)</f>
        <v>352</v>
      </c>
      <c r="Z54" s="80">
        <f t="shared" si="44"/>
        <v>1337.7994780466038</v>
      </c>
      <c r="AA54" s="80">
        <f>SUMIFS($AP$64:$AP$509,$B$64:$B$509,$B54)+SUMIFS($AO$64:$AO$509,$B$64:$B$509,$B54)</f>
        <v>0</v>
      </c>
      <c r="AB54" s="98">
        <f>SUMIFS($AQ$64:$AQ$509,$B$64:$B$509,$B54)</f>
        <v>470905.41627240455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2574</v>
      </c>
      <c r="G55" s="192">
        <f t="shared" si="40"/>
        <v>566.28243978243984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1457611</v>
      </c>
      <c r="I55" s="101">
        <f>SUMIFS($N$64:$N$509,$B$64:$B$509,$B55)-SUMIFS($O$64:$O$509,$B$64:$B$509,$B55)</f>
        <v>177</v>
      </c>
      <c r="J55" s="102">
        <f>SUMIFS($P$64:$P$509,$B$64:$B$509,$B55)</f>
        <v>2751</v>
      </c>
      <c r="K55" s="102">
        <f t="shared" si="41"/>
        <v>579.96541413725754</v>
      </c>
      <c r="L55" s="102">
        <f>SUMIFS($R$64:$R$509,$B$64:$B$509,$B55)+SUMIFS($Q$64:$Q$509,$B$64:$B$509,$B55)</f>
        <v>89772.691291595998</v>
      </c>
      <c r="M55" s="103">
        <f>SUMIFS($S$64:$S$509,$B$64:$B$509,$B55)</f>
        <v>1595484.8542915955</v>
      </c>
      <c r="N55" s="80">
        <f>SUMIFS($V$64:$V$509,$B$64:$B$509,$B55)-SUMIFS($W$64:$W$509,$B$64:$B$509,$B55)</f>
        <v>-23</v>
      </c>
      <c r="O55" s="80">
        <f>SUMIFS($X$64:$X$509,$B$64:$B$509,$B55)</f>
        <v>2728</v>
      </c>
      <c r="P55" s="80">
        <f t="shared" si="42"/>
        <v>616.44025477317007</v>
      </c>
      <c r="Q55" s="80">
        <f>SUMIFS($Z$64:$Z$509,$B$64:$B$509,$B55)+SUMIFS($Y$64:$Y$509,$B$64:$B$509,$B55)</f>
        <v>-9564.9305278838801</v>
      </c>
      <c r="R55" s="80">
        <f>SUMIFS($AA$64:$AA$509,$B$64:$B$509,$B55)</f>
        <v>1681649.015021208</v>
      </c>
      <c r="S55" s="101">
        <f>SUMIFS($AD$64:$AD$509,$B$64:$B$509,$B55)-SUMIFS($AE$64:$AE$509,$B$64:$B$509,$B55)</f>
        <v>-52</v>
      </c>
      <c r="T55" s="102">
        <f>SUMIFS($AF$64:$AF$509,$B$64:$B$509,$B55)</f>
        <v>2676</v>
      </c>
      <c r="U55" s="102">
        <f t="shared" si="43"/>
        <v>656.84637830535121</v>
      </c>
      <c r="V55" s="102">
        <f>SUMIFS($AH$64:$AH$509,$B$64:$B$509,$B55)+SUMIFS($AG$64:$AG$509,$B$64:$B$509,$B55)</f>
        <v>-23145.398562339207</v>
      </c>
      <c r="W55" s="103">
        <f>SUMIFS($AI$64:$AI$509,$B$64:$B$509,$B55)</f>
        <v>1757720.9083451198</v>
      </c>
      <c r="X55" s="80">
        <f>SUMIFS($AL$64:$AL$509,$B$64:$B$509,$B55)-SUMIFS($AM$64:$AM$509,$B$64:$B$509,$B55)</f>
        <v>-59</v>
      </c>
      <c r="Y55" s="80">
        <f>SUMIFS($AN$64:$AN$509,$B$64:$B$509,$B55)</f>
        <v>2617</v>
      </c>
      <c r="Z55" s="80">
        <f t="shared" si="44"/>
        <v>699.3529896939333</v>
      </c>
      <c r="AA55" s="80">
        <f>SUMIFS($AP$64:$AP$509,$B$64:$B$509,$B55)+SUMIFS($AO$64:$AO$509,$B$64:$B$509,$B55)</f>
        <v>-27704.226091767763</v>
      </c>
      <c r="AB55" s="98">
        <f>SUMIFS($AQ$64:$AQ$509,$B$64:$B$509,$B55)</f>
        <v>1830206.7740290235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4868</v>
      </c>
      <c r="G56" s="92">
        <f t="shared" ref="G56" si="45">IFERROR(H56/F56,0)</f>
        <v>553.66134531840589</v>
      </c>
      <c r="H56" s="92">
        <f>SUM(H51:H55)</f>
        <v>2695223.4290100001</v>
      </c>
      <c r="I56" s="92">
        <f>SUM(I51:I55)</f>
        <v>557</v>
      </c>
      <c r="J56" s="92">
        <f>SUM(J51:J55)</f>
        <v>5425</v>
      </c>
      <c r="K56" s="92">
        <f t="shared" si="41"/>
        <v>575.34012831155735</v>
      </c>
      <c r="L56" s="92">
        <f>SUM(L51:L55)</f>
        <v>285943.41228026198</v>
      </c>
      <c r="M56" s="92">
        <f>SUM(M51:M55)</f>
        <v>3121220.1960901986</v>
      </c>
      <c r="N56" s="92">
        <f t="shared" ref="N56:O56" si="46">SUM(N51:N55)</f>
        <v>-23</v>
      </c>
      <c r="O56" s="92">
        <f t="shared" si="46"/>
        <v>5402</v>
      </c>
      <c r="P56" s="92">
        <f>IFERROR(R56/O56,0)</f>
        <v>616.620646935183</v>
      </c>
      <c r="Q56" s="92">
        <f t="shared" ref="Q56" si="47">SUM(Q51:Q55)</f>
        <v>-9564.9305278838801</v>
      </c>
      <c r="R56" s="92">
        <f t="shared" ref="R56:T56" si="48">SUM(R51:R55)</f>
        <v>3330984.7347438587</v>
      </c>
      <c r="S56" s="92">
        <f t="shared" si="48"/>
        <v>-52</v>
      </c>
      <c r="T56" s="92">
        <f t="shared" si="48"/>
        <v>5350</v>
      </c>
      <c r="U56" s="92">
        <f>IFERROR(W56/T56,0)</f>
        <v>661.50730326321479</v>
      </c>
      <c r="V56" s="92">
        <f t="shared" ref="V56" si="49">SUM(V51:V55)</f>
        <v>-23145.398562339207</v>
      </c>
      <c r="W56" s="92">
        <f t="shared" ref="W56:Y56" si="50">SUM(W51:W55)</f>
        <v>3539064.0724581992</v>
      </c>
      <c r="X56" s="92">
        <f t="shared" si="50"/>
        <v>-59</v>
      </c>
      <c r="Y56" s="92">
        <f t="shared" si="50"/>
        <v>5291</v>
      </c>
      <c r="Z56" s="92">
        <f>IFERROR(AB56/Y56,0)</f>
        <v>708.86113373009061</v>
      </c>
      <c r="AA56" s="92">
        <f t="shared" ref="AA56" si="51">SUM(AA51:AA55)</f>
        <v>-27704.226091767763</v>
      </c>
      <c r="AB56" s="104">
        <f t="shared" ref="AB56" si="52">SUM(AB51:AB55)</f>
        <v>3750584.2585659097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25</v>
      </c>
      <c r="G64" s="35">
        <f>SUMIFS(WORKING!$AC$3:$AC$6802,WORKING!$A$3:$A$6802,Results!$D$3,WORKING!$B$3:$B$6802,Results!A64,WORKING!$C$3:$C$6802,Results!C64)/1000</f>
        <v>1711.98245</v>
      </c>
      <c r="H64" s="35">
        <f>IFERROR(G64/F64,0)</f>
        <v>68.479298</v>
      </c>
      <c r="I64" s="156">
        <v>24</v>
      </c>
      <c r="J64" s="211">
        <v>1508</v>
      </c>
      <c r="K64" s="217">
        <f>IFERROR(IF(J64="",G64,J64)/IF(I64="",F64,I64),"")</f>
        <v>62.833333333333336</v>
      </c>
      <c r="L64" s="34">
        <f t="shared" ref="L64:L80" si="54">IF(I64="",F64,I64)</f>
        <v>24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68.622796666666673</v>
      </c>
      <c r="N64" s="57">
        <v>0</v>
      </c>
      <c r="O64" s="57">
        <v>0</v>
      </c>
      <c r="P64" s="61">
        <f t="shared" ref="P64:P80" si="55">-O64+L64+N64</f>
        <v>24</v>
      </c>
      <c r="Q64" s="40">
        <f>M64*N64</f>
        <v>0</v>
      </c>
      <c r="R64" s="40">
        <f>-M64*O64</f>
        <v>0</v>
      </c>
      <c r="S64" s="44">
        <f>M64*P64</f>
        <v>1646.9471200000003</v>
      </c>
      <c r="T64" s="35">
        <f>P64</f>
        <v>24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74.527788319833334</v>
      </c>
      <c r="V64" s="57">
        <v>0</v>
      </c>
      <c r="W64" s="57">
        <v>0</v>
      </c>
      <c r="X64" s="61">
        <f t="shared" ref="X64:X80" si="56">-W64+T64+V64</f>
        <v>24</v>
      </c>
      <c r="Y64" s="40">
        <f>U64*V64</f>
        <v>0</v>
      </c>
      <c r="Z64" s="40">
        <f>-U64*W64</f>
        <v>0</v>
      </c>
      <c r="AA64" s="44">
        <f>U64*X64</f>
        <v>1788.6669196759999</v>
      </c>
      <c r="AB64" s="35">
        <f>X64</f>
        <v>24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80.865258799610359</v>
      </c>
      <c r="AD64" s="57">
        <v>0</v>
      </c>
      <c r="AE64" s="57">
        <v>0</v>
      </c>
      <c r="AF64" s="61">
        <f t="shared" ref="AF64:AF80" si="57">-AE64+AB64+AD64</f>
        <v>24</v>
      </c>
      <c r="AG64" s="40">
        <f>AC64*AD64</f>
        <v>0</v>
      </c>
      <c r="AH64" s="40">
        <f>-AC64*AE64</f>
        <v>0</v>
      </c>
      <c r="AI64" s="44">
        <f>AC64*AF64</f>
        <v>1940.7662111906486</v>
      </c>
      <c r="AJ64" s="35">
        <f t="shared" ref="AJ64:AJ80" si="58">AF64</f>
        <v>24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87.577479606272007</v>
      </c>
      <c r="AL64" s="57">
        <v>0</v>
      </c>
      <c r="AM64" s="57">
        <v>0</v>
      </c>
      <c r="AN64" s="61">
        <f t="shared" ref="AN64:AN80" si="59">-AM64+AJ64+AL64</f>
        <v>24</v>
      </c>
      <c r="AO64" s="40">
        <f>AK64*AL64</f>
        <v>0</v>
      </c>
      <c r="AP64" s="40">
        <f>-AK64*AM64</f>
        <v>0</v>
      </c>
      <c r="AQ64" s="44">
        <f>AK64*AN64</f>
        <v>2101.8595105505283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202.66427999999999</v>
      </c>
      <c r="H65" s="35">
        <f t="shared" ref="H65:H80" si="60">IFERROR(G65/F65,0)</f>
        <v>0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>
        <v>0</v>
      </c>
      <c r="J66" s="212">
        <v>0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0.192</v>
      </c>
      <c r="H67" s="35">
        <f t="shared" si="60"/>
        <v>0</v>
      </c>
      <c r="I67" s="187">
        <v>0</v>
      </c>
      <c r="J67" s="212">
        <v>0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171</v>
      </c>
      <c r="G68" s="35">
        <f>SUMIFS(WORKING!$AC$3:$AC$6802,WORKING!$A$3:$A$6802,Results!$D$3,WORKING!$B$3:$B$6802,Results!A68,WORKING!$C$3:$C$6802,Results!C68)/1000</f>
        <v>41138.427309999992</v>
      </c>
      <c r="H68" s="35">
        <f t="shared" si="60"/>
        <v>240.57559830409352</v>
      </c>
      <c r="I68" s="187">
        <v>162</v>
      </c>
      <c r="J68" s="212">
        <v>34342</v>
      </c>
      <c r="K68" s="217">
        <f t="shared" si="61"/>
        <v>211.98765432098764</v>
      </c>
      <c r="L68" s="34">
        <f t="shared" si="54"/>
        <v>162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230.7145472520655</v>
      </c>
      <c r="N68" s="57">
        <v>13</v>
      </c>
      <c r="O68" s="57">
        <v>0</v>
      </c>
      <c r="P68" s="61">
        <f t="shared" si="55"/>
        <v>175</v>
      </c>
      <c r="Q68" s="40">
        <f t="shared" si="62"/>
        <v>2999.2891142768517</v>
      </c>
      <c r="R68" s="40">
        <f t="shared" si="63"/>
        <v>0</v>
      </c>
      <c r="S68" s="44">
        <f t="shared" si="64"/>
        <v>40375.045769111464</v>
      </c>
      <c r="T68" s="35">
        <f t="shared" si="65"/>
        <v>175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250.31770645991259</v>
      </c>
      <c r="V68" s="57">
        <v>0</v>
      </c>
      <c r="W68" s="57">
        <v>0</v>
      </c>
      <c r="X68" s="61">
        <f t="shared" si="56"/>
        <v>175</v>
      </c>
      <c r="Y68" s="40">
        <f t="shared" si="66"/>
        <v>0</v>
      </c>
      <c r="Z68" s="40">
        <f t="shared" si="67"/>
        <v>0</v>
      </c>
      <c r="AA68" s="44">
        <f t="shared" si="68"/>
        <v>43805.598630484703</v>
      </c>
      <c r="AB68" s="35">
        <f t="shared" si="69"/>
        <v>175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271.33272325492794</v>
      </c>
      <c r="AD68" s="57">
        <v>0</v>
      </c>
      <c r="AE68" s="57">
        <v>0</v>
      </c>
      <c r="AF68" s="61">
        <f t="shared" si="57"/>
        <v>175</v>
      </c>
      <c r="AG68" s="40">
        <f t="shared" si="70"/>
        <v>0</v>
      </c>
      <c r="AH68" s="40">
        <f t="shared" si="71"/>
        <v>0</v>
      </c>
      <c r="AI68" s="44">
        <f t="shared" si="72"/>
        <v>47483.226569612387</v>
      </c>
      <c r="AJ68" s="35">
        <f t="shared" si="58"/>
        <v>175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293.56187821863432</v>
      </c>
      <c r="AL68" s="57">
        <v>0</v>
      </c>
      <c r="AM68" s="57">
        <v>0</v>
      </c>
      <c r="AN68" s="61">
        <f t="shared" si="59"/>
        <v>175</v>
      </c>
      <c r="AO68" s="40">
        <f t="shared" si="73"/>
        <v>0</v>
      </c>
      <c r="AP68" s="40">
        <f t="shared" si="74"/>
        <v>0</v>
      </c>
      <c r="AQ68" s="44">
        <f t="shared" si="75"/>
        <v>51373.328688261005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78</v>
      </c>
      <c r="G69" s="35">
        <f>SUMIFS(WORKING!$AC$3:$AC$6802,WORKING!$A$3:$A$6802,Results!$D$3,WORKING!$B$3:$B$6802,Results!A69,WORKING!$C$3:$C$6802,Results!C69)/1000</f>
        <v>18666.398679999998</v>
      </c>
      <c r="H69" s="35">
        <f t="shared" si="60"/>
        <v>239.31280358974357</v>
      </c>
      <c r="I69" s="187">
        <v>93</v>
      </c>
      <c r="J69" s="212">
        <v>22789</v>
      </c>
      <c r="K69" s="217">
        <f t="shared" si="61"/>
        <v>245.04301075268816</v>
      </c>
      <c r="L69" s="34">
        <f t="shared" si="54"/>
        <v>93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266.38246465231549</v>
      </c>
      <c r="N69" s="57">
        <v>17</v>
      </c>
      <c r="O69" s="57">
        <v>0</v>
      </c>
      <c r="P69" s="61">
        <f t="shared" si="55"/>
        <v>110</v>
      </c>
      <c r="Q69" s="40">
        <f t="shared" si="62"/>
        <v>4528.5018990893632</v>
      </c>
      <c r="R69" s="40">
        <f t="shared" si="63"/>
        <v>0</v>
      </c>
      <c r="S69" s="44">
        <f t="shared" si="64"/>
        <v>29302.071111754703</v>
      </c>
      <c r="T69" s="35">
        <f t="shared" si="65"/>
        <v>110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288.92107131234513</v>
      </c>
      <c r="V69" s="57">
        <v>0</v>
      </c>
      <c r="W69" s="57">
        <v>0</v>
      </c>
      <c r="X69" s="61">
        <f t="shared" si="56"/>
        <v>110</v>
      </c>
      <c r="Y69" s="40">
        <f t="shared" si="66"/>
        <v>0</v>
      </c>
      <c r="Z69" s="40">
        <f t="shared" si="67"/>
        <v>0</v>
      </c>
      <c r="AA69" s="44">
        <f t="shared" si="68"/>
        <v>31781.317844357964</v>
      </c>
      <c r="AB69" s="35">
        <f t="shared" si="69"/>
        <v>110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313.0738722722466</v>
      </c>
      <c r="AD69" s="57">
        <v>0</v>
      </c>
      <c r="AE69" s="57">
        <v>0</v>
      </c>
      <c r="AF69" s="61">
        <f t="shared" si="57"/>
        <v>110</v>
      </c>
      <c r="AG69" s="40">
        <f t="shared" si="70"/>
        <v>0</v>
      </c>
      <c r="AH69" s="40">
        <f t="shared" si="71"/>
        <v>0</v>
      </c>
      <c r="AI69" s="44">
        <f t="shared" si="72"/>
        <v>34438.125949947127</v>
      </c>
      <c r="AJ69" s="35">
        <f t="shared" si="58"/>
        <v>110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338.61121816826909</v>
      </c>
      <c r="AL69" s="57">
        <v>0</v>
      </c>
      <c r="AM69" s="57">
        <v>0</v>
      </c>
      <c r="AN69" s="61">
        <f t="shared" si="59"/>
        <v>110</v>
      </c>
      <c r="AO69" s="40">
        <f t="shared" si="73"/>
        <v>0</v>
      </c>
      <c r="AP69" s="40">
        <f t="shared" si="74"/>
        <v>0</v>
      </c>
      <c r="AQ69" s="44">
        <f t="shared" si="75"/>
        <v>37247.233998509597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125</v>
      </c>
      <c r="G70" s="35">
        <f>SUMIFS(WORKING!$AC$3:$AC$6802,WORKING!$A$3:$A$6802,Results!$D$3,WORKING!$B$3:$B$6802,Results!A70,WORKING!$C$3:$C$6802,Results!C70)/1000</f>
        <v>40943.212289999996</v>
      </c>
      <c r="H70" s="35">
        <f t="shared" si="60"/>
        <v>327.54569831999999</v>
      </c>
      <c r="I70" s="187">
        <v>190</v>
      </c>
      <c r="J70" s="212">
        <v>62372</v>
      </c>
      <c r="K70" s="217">
        <f t="shared" si="61"/>
        <v>328.27368421052631</v>
      </c>
      <c r="L70" s="34">
        <f t="shared" si="54"/>
        <v>190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357.35736133466156</v>
      </c>
      <c r="N70" s="57">
        <v>63</v>
      </c>
      <c r="O70" s="57">
        <v>0</v>
      </c>
      <c r="P70" s="61">
        <f t="shared" si="55"/>
        <v>253</v>
      </c>
      <c r="Q70" s="40">
        <f t="shared" si="62"/>
        <v>22513.51376408368</v>
      </c>
      <c r="R70" s="40">
        <f t="shared" si="63"/>
        <v>0</v>
      </c>
      <c r="S70" s="44">
        <f t="shared" si="64"/>
        <v>90411.412417669373</v>
      </c>
      <c r="T70" s="35">
        <f t="shared" si="65"/>
        <v>253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387.74608187200403</v>
      </c>
      <c r="V70" s="57">
        <v>0</v>
      </c>
      <c r="W70" s="57">
        <v>0</v>
      </c>
      <c r="X70" s="61">
        <f t="shared" si="56"/>
        <v>253</v>
      </c>
      <c r="Y70" s="40">
        <f t="shared" si="66"/>
        <v>0</v>
      </c>
      <c r="Z70" s="40">
        <f t="shared" si="67"/>
        <v>0</v>
      </c>
      <c r="AA70" s="44">
        <f t="shared" si="68"/>
        <v>98099.758713617019</v>
      </c>
      <c r="AB70" s="35">
        <f t="shared" si="69"/>
        <v>253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420.32590923144886</v>
      </c>
      <c r="AD70" s="57">
        <v>0</v>
      </c>
      <c r="AE70" s="57">
        <v>0</v>
      </c>
      <c r="AF70" s="61">
        <f t="shared" si="57"/>
        <v>253</v>
      </c>
      <c r="AG70" s="40">
        <f t="shared" si="70"/>
        <v>0</v>
      </c>
      <c r="AH70" s="40">
        <f t="shared" si="71"/>
        <v>0</v>
      </c>
      <c r="AI70" s="44">
        <f t="shared" si="72"/>
        <v>106342.45503555656</v>
      </c>
      <c r="AJ70" s="35">
        <f t="shared" si="58"/>
        <v>253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454.7910187906005</v>
      </c>
      <c r="AL70" s="57">
        <v>0</v>
      </c>
      <c r="AM70" s="57">
        <v>0</v>
      </c>
      <c r="AN70" s="61">
        <f t="shared" si="59"/>
        <v>253</v>
      </c>
      <c r="AO70" s="40">
        <f t="shared" si="73"/>
        <v>0</v>
      </c>
      <c r="AP70" s="40">
        <f t="shared" si="74"/>
        <v>0</v>
      </c>
      <c r="AQ70" s="44">
        <f t="shared" si="75"/>
        <v>115062.12775402193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94</v>
      </c>
      <c r="G71" s="35">
        <f>SUMIFS(WORKING!$AC$3:$AC$6802,WORKING!$A$3:$A$6802,Results!$D$3,WORKING!$B$3:$B$6802,Results!A71,WORKING!$C$3:$C$6802,Results!C71)/1000</f>
        <v>35795.700569999994</v>
      </c>
      <c r="H71" s="35">
        <f>IFERROR(G71/F71,0)</f>
        <v>380.80532521276587</v>
      </c>
      <c r="I71" s="187">
        <v>53</v>
      </c>
      <c r="J71" s="212">
        <v>19839</v>
      </c>
      <c r="K71" s="217">
        <f t="shared" si="61"/>
        <v>374.32075471698113</v>
      </c>
      <c r="L71" s="34">
        <f t="shared" si="54"/>
        <v>53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407.78886329577375</v>
      </c>
      <c r="N71" s="57">
        <v>5</v>
      </c>
      <c r="O71" s="57">
        <v>0</v>
      </c>
      <c r="P71" s="61">
        <f t="shared" si="55"/>
        <v>58</v>
      </c>
      <c r="Q71" s="40">
        <f t="shared" si="62"/>
        <v>2038.9443164788688</v>
      </c>
      <c r="R71" s="40">
        <f t="shared" si="63"/>
        <v>0</v>
      </c>
      <c r="S71" s="44">
        <f t="shared" si="64"/>
        <v>23651.754071154879</v>
      </c>
      <c r="T71" s="35">
        <f t="shared" si="65"/>
        <v>58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442.56019094723672</v>
      </c>
      <c r="V71" s="57">
        <v>0</v>
      </c>
      <c r="W71" s="57">
        <v>0</v>
      </c>
      <c r="X71" s="61">
        <f t="shared" si="56"/>
        <v>58</v>
      </c>
      <c r="Y71" s="40">
        <f t="shared" si="66"/>
        <v>0</v>
      </c>
      <c r="Z71" s="40">
        <f t="shared" si="67"/>
        <v>0</v>
      </c>
      <c r="AA71" s="44">
        <f t="shared" si="68"/>
        <v>25668.491074939731</v>
      </c>
      <c r="AB71" s="35">
        <f t="shared" si="69"/>
        <v>58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479.84768092171186</v>
      </c>
      <c r="AD71" s="57">
        <v>0</v>
      </c>
      <c r="AE71" s="57">
        <v>0</v>
      </c>
      <c r="AF71" s="61">
        <f t="shared" si="57"/>
        <v>58</v>
      </c>
      <c r="AG71" s="40">
        <f t="shared" si="70"/>
        <v>0</v>
      </c>
      <c r="AH71" s="40">
        <f t="shared" si="71"/>
        <v>0</v>
      </c>
      <c r="AI71" s="44">
        <f t="shared" si="72"/>
        <v>27831.165493459288</v>
      </c>
      <c r="AJ71" s="35">
        <f t="shared" si="58"/>
        <v>58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519.30374418266615</v>
      </c>
      <c r="AL71" s="57">
        <v>0</v>
      </c>
      <c r="AM71" s="57">
        <v>0</v>
      </c>
      <c r="AN71" s="61">
        <f t="shared" si="59"/>
        <v>58</v>
      </c>
      <c r="AO71" s="40">
        <f t="shared" si="73"/>
        <v>0</v>
      </c>
      <c r="AP71" s="40">
        <f t="shared" si="74"/>
        <v>0</v>
      </c>
      <c r="AQ71" s="44">
        <f t="shared" si="75"/>
        <v>30119.617162594637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15</v>
      </c>
      <c r="G72" s="35">
        <f>SUMIFS(WORKING!$AC$3:$AC$6802,WORKING!$A$3:$A$6802,Results!$D$3,WORKING!$B$3:$B$6802,Results!A72,WORKING!$C$3:$C$6802,Results!C72)/1000</f>
        <v>4336.1763899999996</v>
      </c>
      <c r="H72" s="35">
        <f t="shared" si="60"/>
        <v>289.07842599999998</v>
      </c>
      <c r="I72" s="187">
        <v>21</v>
      </c>
      <c r="J72" s="212">
        <v>9645</v>
      </c>
      <c r="K72" s="217">
        <f>IFERROR(IF(J72="",G72,J72)/IF(I72="",F72,I72),"")</f>
        <v>459.28571428571428</v>
      </c>
      <c r="L72" s="34">
        <f t="shared" si="54"/>
        <v>21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500.57309930365079</v>
      </c>
      <c r="N72" s="57">
        <v>49</v>
      </c>
      <c r="O72" s="57">
        <v>0</v>
      </c>
      <c r="P72" s="61">
        <f t="shared" si="55"/>
        <v>70</v>
      </c>
      <c r="Q72" s="40">
        <f t="shared" si="62"/>
        <v>24528.081865878888</v>
      </c>
      <c r="R72" s="40">
        <f t="shared" si="63"/>
        <v>0</v>
      </c>
      <c r="S72" s="44">
        <f t="shared" si="64"/>
        <v>35040.116951255557</v>
      </c>
      <c r="T72" s="35">
        <f t="shared" si="65"/>
        <v>70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543.32487509442251</v>
      </c>
      <c r="V72" s="57">
        <v>0</v>
      </c>
      <c r="W72" s="57">
        <v>0</v>
      </c>
      <c r="X72" s="61">
        <f t="shared" si="56"/>
        <v>70</v>
      </c>
      <c r="Y72" s="40">
        <f t="shared" si="66"/>
        <v>0</v>
      </c>
      <c r="Z72" s="40">
        <f t="shared" si="67"/>
        <v>0</v>
      </c>
      <c r="AA72" s="44">
        <f t="shared" si="68"/>
        <v>38032.741256609574</v>
      </c>
      <c r="AB72" s="35">
        <f t="shared" si="69"/>
        <v>70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589.17692766429411</v>
      </c>
      <c r="AD72" s="57">
        <v>0</v>
      </c>
      <c r="AE72" s="57">
        <v>0</v>
      </c>
      <c r="AF72" s="61">
        <f t="shared" si="57"/>
        <v>70</v>
      </c>
      <c r="AG72" s="40">
        <f t="shared" si="70"/>
        <v>0</v>
      </c>
      <c r="AH72" s="40">
        <f t="shared" si="71"/>
        <v>0</v>
      </c>
      <c r="AI72" s="44">
        <f t="shared" si="72"/>
        <v>41242.384936500588</v>
      </c>
      <c r="AJ72" s="35">
        <f t="shared" si="58"/>
        <v>70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637.70358045007731</v>
      </c>
      <c r="AL72" s="57">
        <v>0</v>
      </c>
      <c r="AM72" s="57">
        <v>0</v>
      </c>
      <c r="AN72" s="61">
        <f t="shared" si="59"/>
        <v>70</v>
      </c>
      <c r="AO72" s="40">
        <f t="shared" si="73"/>
        <v>0</v>
      </c>
      <c r="AP72" s="40">
        <f t="shared" si="74"/>
        <v>0</v>
      </c>
      <c r="AQ72" s="44">
        <f t="shared" si="75"/>
        <v>44639.250631505412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208</v>
      </c>
      <c r="G73" s="35">
        <f>SUMIFS(WORKING!$AC$3:$AC$6802,WORKING!$A$3:$A$6802,Results!$D$3,WORKING!$B$3:$B$6802,Results!A73,WORKING!$C$3:$C$6802,Results!C73)/1000</f>
        <v>104232.90654000001</v>
      </c>
      <c r="H73" s="35">
        <f t="shared" si="60"/>
        <v>501.11974298076927</v>
      </c>
      <c r="I73" s="187">
        <v>174</v>
      </c>
      <c r="J73" s="212">
        <v>84022</v>
      </c>
      <c r="K73" s="217">
        <f t="shared" si="61"/>
        <v>482.88505747126436</v>
      </c>
      <c r="L73" s="34">
        <f t="shared" si="54"/>
        <v>174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526.44437787558036</v>
      </c>
      <c r="N73" s="57">
        <v>15</v>
      </c>
      <c r="O73" s="57">
        <v>0</v>
      </c>
      <c r="P73" s="61">
        <f t="shared" si="55"/>
        <v>189</v>
      </c>
      <c r="Q73" s="40">
        <f t="shared" si="62"/>
        <v>7896.6656681337054</v>
      </c>
      <c r="R73" s="40">
        <f t="shared" si="63"/>
        <v>0</v>
      </c>
      <c r="S73" s="44">
        <f t="shared" si="64"/>
        <v>99497.987418484685</v>
      </c>
      <c r="T73" s="35">
        <f t="shared" si="65"/>
        <v>189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571.45305295208561</v>
      </c>
      <c r="V73" s="57">
        <v>0</v>
      </c>
      <c r="W73" s="57">
        <v>0</v>
      </c>
      <c r="X73" s="61">
        <f t="shared" si="56"/>
        <v>189</v>
      </c>
      <c r="Y73" s="40">
        <f t="shared" si="66"/>
        <v>0</v>
      </c>
      <c r="Z73" s="40">
        <f t="shared" si="67"/>
        <v>0</v>
      </c>
      <c r="AA73" s="44">
        <f t="shared" si="68"/>
        <v>108004.62700794417</v>
      </c>
      <c r="AB73" s="35">
        <f t="shared" si="69"/>
        <v>189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619.73020124938455</v>
      </c>
      <c r="AD73" s="57">
        <v>0</v>
      </c>
      <c r="AE73" s="57">
        <v>0</v>
      </c>
      <c r="AF73" s="61">
        <f t="shared" si="57"/>
        <v>189</v>
      </c>
      <c r="AG73" s="40">
        <f t="shared" si="70"/>
        <v>0</v>
      </c>
      <c r="AH73" s="40">
        <f t="shared" si="71"/>
        <v>0</v>
      </c>
      <c r="AI73" s="44">
        <f t="shared" si="72"/>
        <v>117129.00803613367</v>
      </c>
      <c r="AJ73" s="35">
        <f t="shared" si="58"/>
        <v>189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670.82880392249763</v>
      </c>
      <c r="AL73" s="57">
        <v>0</v>
      </c>
      <c r="AM73" s="57">
        <v>0</v>
      </c>
      <c r="AN73" s="61">
        <f t="shared" si="59"/>
        <v>189</v>
      </c>
      <c r="AO73" s="40">
        <f t="shared" si="73"/>
        <v>0</v>
      </c>
      <c r="AP73" s="40">
        <f t="shared" si="74"/>
        <v>0</v>
      </c>
      <c r="AQ73" s="44">
        <f t="shared" si="75"/>
        <v>126786.64394135206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14</v>
      </c>
      <c r="G74" s="35">
        <f>SUMIFS(WORKING!$AC$3:$AC$6802,WORKING!$A$3:$A$6802,Results!$D$3,WORKING!$B$3:$B$6802,Results!A74,WORKING!$C$3:$C$6802,Results!C74)/1000</f>
        <v>8223.1757500000003</v>
      </c>
      <c r="H74" s="35">
        <f t="shared" si="60"/>
        <v>587.3696964285715</v>
      </c>
      <c r="I74" s="187">
        <v>10</v>
      </c>
      <c r="J74" s="212">
        <v>7949</v>
      </c>
      <c r="K74" s="217">
        <f t="shared" si="61"/>
        <v>794.9</v>
      </c>
      <c r="L74" s="34">
        <f t="shared" si="54"/>
        <v>10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867.86129089661995</v>
      </c>
      <c r="N74" s="57">
        <v>12</v>
      </c>
      <c r="O74" s="57">
        <v>0</v>
      </c>
      <c r="P74" s="61">
        <f t="shared" si="55"/>
        <v>22</v>
      </c>
      <c r="Q74" s="40">
        <f t="shared" si="62"/>
        <v>10414.33549075944</v>
      </c>
      <c r="R74" s="40">
        <f t="shared" si="63"/>
        <v>0</v>
      </c>
      <c r="S74" s="44">
        <f t="shared" si="64"/>
        <v>19092.948399725639</v>
      </c>
      <c r="T74" s="35">
        <f t="shared" si="65"/>
        <v>22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942.23589609284272</v>
      </c>
      <c r="V74" s="57">
        <v>0</v>
      </c>
      <c r="W74" s="57">
        <v>0</v>
      </c>
      <c r="X74" s="61">
        <f t="shared" si="56"/>
        <v>22</v>
      </c>
      <c r="Y74" s="40">
        <f t="shared" si="66"/>
        <v>0</v>
      </c>
      <c r="Z74" s="40">
        <f t="shared" si="67"/>
        <v>0</v>
      </c>
      <c r="AA74" s="44">
        <f t="shared" si="68"/>
        <v>20729.189714042539</v>
      </c>
      <c r="AB74" s="35">
        <f t="shared" si="69"/>
        <v>22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1022.0282499458845</v>
      </c>
      <c r="AD74" s="57">
        <v>0</v>
      </c>
      <c r="AE74" s="57">
        <v>0</v>
      </c>
      <c r="AF74" s="61">
        <f t="shared" si="57"/>
        <v>22</v>
      </c>
      <c r="AG74" s="40">
        <f t="shared" si="70"/>
        <v>0</v>
      </c>
      <c r="AH74" s="40">
        <f t="shared" si="71"/>
        <v>0</v>
      </c>
      <c r="AI74" s="44">
        <f t="shared" si="72"/>
        <v>22484.621498809458</v>
      </c>
      <c r="AJ74" s="35">
        <f t="shared" si="58"/>
        <v>22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1106.5036973683714</v>
      </c>
      <c r="AL74" s="57">
        <v>0</v>
      </c>
      <c r="AM74" s="57">
        <v>0</v>
      </c>
      <c r="AN74" s="61">
        <f t="shared" si="59"/>
        <v>22</v>
      </c>
      <c r="AO74" s="40">
        <f t="shared" si="73"/>
        <v>0</v>
      </c>
      <c r="AP74" s="40">
        <f t="shared" si="74"/>
        <v>0</v>
      </c>
      <c r="AQ74" s="44">
        <f t="shared" si="75"/>
        <v>24343.081342104171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103</v>
      </c>
      <c r="G75" s="35">
        <f>SUMIFS(WORKING!$AC$3:$AC$6802,WORKING!$A$3:$A$6802,Results!$D$3,WORKING!$B$3:$B$6802,Results!A75,WORKING!$C$3:$C$6802,Results!C75)/1000</f>
        <v>73833.110079999969</v>
      </c>
      <c r="H75" s="35">
        <f t="shared" si="60"/>
        <v>716.82631145631035</v>
      </c>
      <c r="I75" s="187">
        <v>91</v>
      </c>
      <c r="J75" s="212">
        <v>58277</v>
      </c>
      <c r="K75" s="217">
        <f t="shared" si="61"/>
        <v>640.4065934065934</v>
      </c>
      <c r="L75" s="34">
        <f t="shared" si="54"/>
        <v>91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699.12002767905869</v>
      </c>
      <c r="N75" s="57">
        <v>19</v>
      </c>
      <c r="O75" s="57">
        <v>0</v>
      </c>
      <c r="P75" s="61">
        <f t="shared" si="55"/>
        <v>110</v>
      </c>
      <c r="Q75" s="40">
        <f t="shared" si="62"/>
        <v>13283.280525902115</v>
      </c>
      <c r="R75" s="40">
        <f t="shared" si="63"/>
        <v>0</v>
      </c>
      <c r="S75" s="44">
        <f t="shared" si="64"/>
        <v>76903.203044696449</v>
      </c>
      <c r="T75" s="35">
        <f t="shared" si="65"/>
        <v>110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758.96054389995095</v>
      </c>
      <c r="V75" s="57">
        <v>0</v>
      </c>
      <c r="W75" s="57">
        <v>0</v>
      </c>
      <c r="X75" s="61">
        <f t="shared" si="56"/>
        <v>110</v>
      </c>
      <c r="Y75" s="40">
        <f t="shared" si="66"/>
        <v>0</v>
      </c>
      <c r="Z75" s="40">
        <f t="shared" si="67"/>
        <v>0</v>
      </c>
      <c r="AA75" s="44">
        <f t="shared" si="68"/>
        <v>83485.659828994598</v>
      </c>
      <c r="AB75" s="35">
        <f t="shared" si="69"/>
        <v>110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823.15303085228095</v>
      </c>
      <c r="AD75" s="57">
        <v>0</v>
      </c>
      <c r="AE75" s="57">
        <v>0</v>
      </c>
      <c r="AF75" s="61">
        <f t="shared" si="57"/>
        <v>110</v>
      </c>
      <c r="AG75" s="40">
        <f t="shared" si="70"/>
        <v>0</v>
      </c>
      <c r="AH75" s="40">
        <f t="shared" si="71"/>
        <v>0</v>
      </c>
      <c r="AI75" s="44">
        <f t="shared" si="72"/>
        <v>90546.833393750901</v>
      </c>
      <c r="AJ75" s="35">
        <f t="shared" si="58"/>
        <v>110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891.1045857404057</v>
      </c>
      <c r="AL75" s="57">
        <v>0</v>
      </c>
      <c r="AM75" s="57">
        <v>0</v>
      </c>
      <c r="AN75" s="61">
        <f t="shared" si="59"/>
        <v>110</v>
      </c>
      <c r="AO75" s="40">
        <f t="shared" si="73"/>
        <v>0</v>
      </c>
      <c r="AP75" s="40">
        <f t="shared" si="74"/>
        <v>0</v>
      </c>
      <c r="AQ75" s="44">
        <f t="shared" si="75"/>
        <v>98021.504431444628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35</v>
      </c>
      <c r="G76" s="35">
        <f>SUMIFS(WORKING!$AC$3:$AC$6802,WORKING!$A$3:$A$6802,Results!$D$3,WORKING!$B$3:$B$6802,Results!A76,WORKING!$C$3:$C$6802,Results!C76)/1000</f>
        <v>36905.016790000001</v>
      </c>
      <c r="H76" s="35">
        <f t="shared" si="60"/>
        <v>1054.4290511428571</v>
      </c>
      <c r="I76" s="187">
        <v>25</v>
      </c>
      <c r="J76" s="212">
        <v>20512</v>
      </c>
      <c r="K76" s="217">
        <f t="shared" si="61"/>
        <v>820.48</v>
      </c>
      <c r="L76" s="34">
        <f t="shared" si="54"/>
        <v>25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860.04241009158807</v>
      </c>
      <c r="N76" s="57">
        <v>22</v>
      </c>
      <c r="O76" s="57">
        <v>0</v>
      </c>
      <c r="P76" s="61">
        <f t="shared" si="55"/>
        <v>47</v>
      </c>
      <c r="Q76" s="40">
        <f t="shared" si="62"/>
        <v>18920.933022014939</v>
      </c>
      <c r="R76" s="40">
        <f t="shared" si="63"/>
        <v>0</v>
      </c>
      <c r="S76" s="44">
        <f t="shared" si="64"/>
        <v>40421.993274304637</v>
      </c>
      <c r="T76" s="35">
        <f t="shared" si="65"/>
        <v>47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925.07571416830331</v>
      </c>
      <c r="V76" s="57">
        <v>0</v>
      </c>
      <c r="W76" s="57">
        <v>0</v>
      </c>
      <c r="X76" s="61">
        <f t="shared" si="56"/>
        <v>47</v>
      </c>
      <c r="Y76" s="40">
        <f t="shared" si="66"/>
        <v>0</v>
      </c>
      <c r="Z76" s="40">
        <f t="shared" si="67"/>
        <v>0</v>
      </c>
      <c r="AA76" s="44">
        <f t="shared" si="68"/>
        <v>43478.558565910258</v>
      </c>
      <c r="AB76" s="35">
        <f t="shared" si="69"/>
        <v>47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994.08789772200055</v>
      </c>
      <c r="AD76" s="57">
        <v>0</v>
      </c>
      <c r="AE76" s="57">
        <v>0</v>
      </c>
      <c r="AF76" s="61">
        <f t="shared" si="57"/>
        <v>47</v>
      </c>
      <c r="AG76" s="40">
        <f t="shared" si="70"/>
        <v>0</v>
      </c>
      <c r="AH76" s="40">
        <f t="shared" si="71"/>
        <v>0</v>
      </c>
      <c r="AI76" s="44">
        <f t="shared" si="72"/>
        <v>46722.131192934023</v>
      </c>
      <c r="AJ76" s="35">
        <f t="shared" si="58"/>
        <v>47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1066.2310382163055</v>
      </c>
      <c r="AL76" s="57">
        <v>0</v>
      </c>
      <c r="AM76" s="57">
        <v>0</v>
      </c>
      <c r="AN76" s="61">
        <f t="shared" si="59"/>
        <v>47</v>
      </c>
      <c r="AO76" s="40">
        <f t="shared" si="73"/>
        <v>0</v>
      </c>
      <c r="AP76" s="40">
        <f t="shared" si="74"/>
        <v>0</v>
      </c>
      <c r="AQ76" s="44">
        <f t="shared" si="75"/>
        <v>50112.858796166358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18</v>
      </c>
      <c r="G77" s="35">
        <f>SUMIFS(WORKING!$AC$3:$AC$6802,WORKING!$A$3:$A$6802,Results!$D$3,WORKING!$B$3:$B$6802,Results!A77,WORKING!$C$3:$C$6802,Results!C77)/1000</f>
        <v>19941.70623</v>
      </c>
      <c r="H77" s="35">
        <f t="shared" si="60"/>
        <v>1107.8725683333332</v>
      </c>
      <c r="I77" s="187">
        <v>16</v>
      </c>
      <c r="J77" s="212">
        <v>14297</v>
      </c>
      <c r="K77" s="217">
        <f t="shared" si="61"/>
        <v>893.5625</v>
      </c>
      <c r="L77" s="34">
        <f t="shared" si="54"/>
        <v>16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936.49838334709216</v>
      </c>
      <c r="N77" s="57">
        <v>1</v>
      </c>
      <c r="O77" s="57">
        <v>0</v>
      </c>
      <c r="P77" s="61">
        <f t="shared" si="55"/>
        <v>17</v>
      </c>
      <c r="Q77" s="40">
        <f t="shared" si="62"/>
        <v>936.49838334709216</v>
      </c>
      <c r="R77" s="40">
        <f t="shared" si="63"/>
        <v>0</v>
      </c>
      <c r="S77" s="44">
        <f t="shared" si="64"/>
        <v>15920.472516900567</v>
      </c>
      <c r="T77" s="35">
        <f t="shared" si="65"/>
        <v>17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1007.151196994172</v>
      </c>
      <c r="V77" s="57">
        <v>0</v>
      </c>
      <c r="W77" s="57">
        <v>0</v>
      </c>
      <c r="X77" s="61">
        <f t="shared" si="56"/>
        <v>17</v>
      </c>
      <c r="Y77" s="40">
        <f t="shared" si="66"/>
        <v>0</v>
      </c>
      <c r="Z77" s="40">
        <f t="shared" si="67"/>
        <v>0</v>
      </c>
      <c r="AA77" s="44">
        <f t="shared" si="68"/>
        <v>17121.570348900925</v>
      </c>
      <c r="AB77" s="35">
        <f t="shared" si="69"/>
        <v>17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1082.1124887466517</v>
      </c>
      <c r="AD77" s="57">
        <v>0</v>
      </c>
      <c r="AE77" s="57">
        <v>0</v>
      </c>
      <c r="AF77" s="61">
        <f t="shared" si="57"/>
        <v>17</v>
      </c>
      <c r="AG77" s="40">
        <f t="shared" si="70"/>
        <v>0</v>
      </c>
      <c r="AH77" s="40">
        <f t="shared" si="71"/>
        <v>0</v>
      </c>
      <c r="AI77" s="44">
        <f t="shared" si="72"/>
        <v>18395.912308693078</v>
      </c>
      <c r="AJ77" s="35">
        <f t="shared" si="58"/>
        <v>17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1160.4573205916026</v>
      </c>
      <c r="AL77" s="57">
        <v>0</v>
      </c>
      <c r="AM77" s="57">
        <v>0</v>
      </c>
      <c r="AN77" s="61">
        <f t="shared" si="59"/>
        <v>17</v>
      </c>
      <c r="AO77" s="40">
        <f t="shared" si="73"/>
        <v>0</v>
      </c>
      <c r="AP77" s="40">
        <f t="shared" si="74"/>
        <v>0</v>
      </c>
      <c r="AQ77" s="44">
        <f t="shared" si="75"/>
        <v>19727.774450057244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12</v>
      </c>
      <c r="G78" s="35">
        <f>SUMIFS(WORKING!$AC$3:$AC$6802,WORKING!$A$3:$A$6802,Results!$D$3,WORKING!$B$3:$B$6802,Results!A78,WORKING!$C$3:$C$6802,Results!C78)/1000</f>
        <v>16311.106080000001</v>
      </c>
      <c r="H78" s="35">
        <f t="shared" si="60"/>
        <v>1359.2588400000002</v>
      </c>
      <c r="I78" s="187">
        <v>4</v>
      </c>
      <c r="J78" s="212">
        <v>5719</v>
      </c>
      <c r="K78" s="217">
        <f t="shared" si="61"/>
        <v>1429.75</v>
      </c>
      <c r="L78" s="34">
        <f t="shared" si="54"/>
        <v>4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1498.5495528229158</v>
      </c>
      <c r="N78" s="57">
        <v>1</v>
      </c>
      <c r="O78" s="57">
        <v>0</v>
      </c>
      <c r="P78" s="61">
        <f t="shared" si="55"/>
        <v>5</v>
      </c>
      <c r="Q78" s="40">
        <f t="shared" si="62"/>
        <v>1498.5495528229158</v>
      </c>
      <c r="R78" s="40">
        <f t="shared" si="63"/>
        <v>0</v>
      </c>
      <c r="S78" s="44">
        <f t="shared" si="64"/>
        <v>7492.7477641145788</v>
      </c>
      <c r="T78" s="35">
        <f t="shared" si="65"/>
        <v>5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1611.7128012189503</v>
      </c>
      <c r="V78" s="57">
        <v>0</v>
      </c>
      <c r="W78" s="57">
        <v>0</v>
      </c>
      <c r="X78" s="61">
        <f t="shared" si="56"/>
        <v>5</v>
      </c>
      <c r="Y78" s="40">
        <f t="shared" si="66"/>
        <v>0</v>
      </c>
      <c r="Z78" s="40">
        <f t="shared" si="67"/>
        <v>0</v>
      </c>
      <c r="AA78" s="44">
        <f t="shared" si="68"/>
        <v>8058.5640060947517</v>
      </c>
      <c r="AB78" s="35">
        <f t="shared" si="69"/>
        <v>5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1731.7862899899189</v>
      </c>
      <c r="AD78" s="57">
        <v>0</v>
      </c>
      <c r="AE78" s="57">
        <v>0</v>
      </c>
      <c r="AF78" s="61">
        <f t="shared" si="57"/>
        <v>5</v>
      </c>
      <c r="AG78" s="40">
        <f t="shared" si="70"/>
        <v>0</v>
      </c>
      <c r="AH78" s="40">
        <f t="shared" si="71"/>
        <v>0</v>
      </c>
      <c r="AI78" s="44">
        <f t="shared" si="72"/>
        <v>8658.931449949594</v>
      </c>
      <c r="AJ78" s="35">
        <f t="shared" si="58"/>
        <v>5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1857.2910508321434</v>
      </c>
      <c r="AL78" s="57">
        <v>0</v>
      </c>
      <c r="AM78" s="57">
        <v>0</v>
      </c>
      <c r="AN78" s="61">
        <f t="shared" si="59"/>
        <v>5</v>
      </c>
      <c r="AO78" s="40">
        <f t="shared" si="73"/>
        <v>0</v>
      </c>
      <c r="AP78" s="40">
        <f t="shared" si="74"/>
        <v>0</v>
      </c>
      <c r="AQ78" s="44">
        <f t="shared" si="75"/>
        <v>9286.4552541607172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4</v>
      </c>
      <c r="G79" s="35">
        <f>SUMIFS(WORKING!$AC$3:$AC$6802,WORKING!$A$3:$A$6802,Results!$D$3,WORKING!$B$3:$B$6802,Results!A79,WORKING!$C$3:$C$6802,Results!C79)/1000</f>
        <v>9648.3116599999994</v>
      </c>
      <c r="H79" s="35">
        <f t="shared" si="60"/>
        <v>2412.0779149999998</v>
      </c>
      <c r="I79" s="187">
        <v>1</v>
      </c>
      <c r="J79" s="212">
        <v>20294</v>
      </c>
      <c r="K79" s="217">
        <f t="shared" si="61"/>
        <v>20294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21274.867909609977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21274.867909609977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22886.091628550796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22886.091628550796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24596.113433121842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24596.113433121842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26383.983661334216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26383.983661334216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3</v>
      </c>
      <c r="J80" s="212">
        <v>6646</v>
      </c>
      <c r="K80" s="217">
        <f t="shared" si="61"/>
        <v>2215.3333333333335</v>
      </c>
      <c r="L80" s="34">
        <f t="shared" si="54"/>
        <v>3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2288.4393333333333</v>
      </c>
      <c r="N80" s="57">
        <v>0</v>
      </c>
      <c r="O80" s="57">
        <v>0</v>
      </c>
      <c r="P80" s="61">
        <f t="shared" si="55"/>
        <v>3</v>
      </c>
      <c r="Q80" s="40">
        <f t="shared" si="62"/>
        <v>0</v>
      </c>
      <c r="R80" s="40">
        <f t="shared" si="63"/>
        <v>0</v>
      </c>
      <c r="S80" s="44">
        <f t="shared" si="64"/>
        <v>6865.3179999999993</v>
      </c>
      <c r="T80" s="35">
        <f t="shared" si="65"/>
        <v>3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2425.7456933333333</v>
      </c>
      <c r="V80" s="57">
        <v>0</v>
      </c>
      <c r="W80" s="57">
        <v>0</v>
      </c>
      <c r="X80" s="61">
        <f t="shared" si="56"/>
        <v>3</v>
      </c>
      <c r="Y80" s="40">
        <f t="shared" si="66"/>
        <v>0</v>
      </c>
      <c r="Z80" s="40">
        <f t="shared" si="67"/>
        <v>0</v>
      </c>
      <c r="AA80" s="44">
        <f t="shared" si="68"/>
        <v>7277.2370799999999</v>
      </c>
      <c r="AB80" s="35">
        <f t="shared" si="69"/>
        <v>3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2568.8646892399997</v>
      </c>
      <c r="AD80" s="57">
        <v>0</v>
      </c>
      <c r="AE80" s="57">
        <v>0</v>
      </c>
      <c r="AF80" s="61">
        <f t="shared" si="57"/>
        <v>3</v>
      </c>
      <c r="AG80" s="40">
        <f t="shared" si="70"/>
        <v>0</v>
      </c>
      <c r="AH80" s="40">
        <f t="shared" si="71"/>
        <v>0</v>
      </c>
      <c r="AI80" s="44">
        <f t="shared" si="72"/>
        <v>7706.5940677199997</v>
      </c>
      <c r="AJ80" s="35">
        <f t="shared" si="58"/>
        <v>3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2715.2899765266798</v>
      </c>
      <c r="AL80" s="57">
        <v>0</v>
      </c>
      <c r="AM80" s="57">
        <v>0</v>
      </c>
      <c r="AN80" s="61">
        <f t="shared" si="59"/>
        <v>3</v>
      </c>
      <c r="AO80" s="40">
        <f t="shared" si="73"/>
        <v>0</v>
      </c>
      <c r="AP80" s="40">
        <f t="shared" si="74"/>
        <v>0</v>
      </c>
      <c r="AQ80" s="44">
        <f t="shared" si="75"/>
        <v>8145.8699295800398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902</v>
      </c>
      <c r="G84" s="41">
        <f>SUM(G64:G83)</f>
        <v>411890.0871</v>
      </c>
      <c r="H84" s="41">
        <f>IFERROR(G84/F84,0)</f>
        <v>456.64089478935699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867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368211</v>
      </c>
      <c r="K84" s="41">
        <f>IFERROR(J84/I84,"")</f>
        <v>424.69550173010379</v>
      </c>
      <c r="L84" s="41">
        <f>SUM(L64:L83)</f>
        <v>867</v>
      </c>
      <c r="M84" s="41">
        <f>IFERROR(S84/P84,0)</f>
        <v>468.53956251732711</v>
      </c>
      <c r="N84" s="41">
        <f t="shared" ref="N84:T84" si="98">SUM(N64:N83)</f>
        <v>217</v>
      </c>
      <c r="O84" s="41">
        <f t="shared" si="98"/>
        <v>0</v>
      </c>
      <c r="P84" s="41">
        <f t="shared" si="98"/>
        <v>1084</v>
      </c>
      <c r="Q84" s="41">
        <f t="shared" si="98"/>
        <v>109558.59360278786</v>
      </c>
      <c r="R84" s="41">
        <f t="shared" si="98"/>
        <v>0</v>
      </c>
      <c r="S84" s="45">
        <f t="shared" si="98"/>
        <v>507896.88576878258</v>
      </c>
      <c r="T84" s="41">
        <f t="shared" si="98"/>
        <v>1084</v>
      </c>
      <c r="U84" s="41">
        <f>IFERROR(AA84/X84,0)</f>
        <v>507.58124780454153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1084</v>
      </c>
      <c r="Y84" s="41">
        <f t="shared" si="99"/>
        <v>0</v>
      </c>
      <c r="Z84" s="41">
        <f t="shared" si="99"/>
        <v>0</v>
      </c>
      <c r="AA84" s="45">
        <f t="shared" si="99"/>
        <v>550218.07262012304</v>
      </c>
      <c r="AB84" s="41">
        <f t="shared" si="99"/>
        <v>1084</v>
      </c>
      <c r="AC84" s="41">
        <f>IFERROR(AI84/AF84,0)</f>
        <v>549.37109739610628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1084</v>
      </c>
      <c r="AG84" s="41">
        <f t="shared" si="100"/>
        <v>0</v>
      </c>
      <c r="AH84" s="41">
        <f t="shared" si="100"/>
        <v>0</v>
      </c>
      <c r="AI84" s="45">
        <f t="shared" si="100"/>
        <v>595518.26957737922</v>
      </c>
      <c r="AJ84" s="41">
        <f t="shared" si="100"/>
        <v>1084</v>
      </c>
      <c r="AK84" s="41">
        <f>IFERROR(AQ84/AN84,0)</f>
        <v>593.49777633915369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1084</v>
      </c>
      <c r="AO84" s="41">
        <f t="shared" si="101"/>
        <v>0</v>
      </c>
      <c r="AP84" s="41">
        <f t="shared" si="101"/>
        <v>0</v>
      </c>
      <c r="AQ84" s="45">
        <f t="shared" si="101"/>
        <v>643351.58955164265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401780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421086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472179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508064.60400000005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-106116.88576878258</v>
      </c>
      <c r="T86" s="39"/>
      <c r="U86" s="39"/>
      <c r="V86" s="53"/>
      <c r="W86" s="53"/>
      <c r="X86" s="110"/>
      <c r="Y86" s="39"/>
      <c r="Z86" s="39"/>
      <c r="AA86" s="54">
        <f>AA85-AA84</f>
        <v>-129132.07262012304</v>
      </c>
      <c r="AB86" s="39"/>
      <c r="AC86" s="53"/>
      <c r="AD86" s="53"/>
      <c r="AE86" s="110"/>
      <c r="AF86" s="39"/>
      <c r="AG86" s="39"/>
      <c r="AH86" s="39"/>
      <c r="AI86" s="54">
        <f>AI85-AI84</f>
        <v>-123339.26957737922</v>
      </c>
      <c r="AJ86" s="53"/>
      <c r="AK86" s="53"/>
      <c r="AL86" s="110"/>
      <c r="AM86" s="110"/>
      <c r="AN86" s="110"/>
      <c r="AO86" s="110"/>
      <c r="AP86" s="111"/>
      <c r="AQ86" s="54">
        <f>AQ85-AQ84</f>
        <v>-135286.9855516426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International Relations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>
        <v>0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44</v>
      </c>
      <c r="G96" s="35">
        <f>SUMIFS(WORKING!$AC$3:$AC$6802,WORKING!$A$3:$A$6802,Results!$D$3,WORKING!$B$3:$B$6802,Results!A96,WORKING!$C$3:$C$6802,Results!C96)/1000</f>
        <v>8489.3787000000011</v>
      </c>
      <c r="H96" s="35">
        <f t="shared" si="108"/>
        <v>192.94042500000003</v>
      </c>
      <c r="I96" s="187">
        <v>20</v>
      </c>
      <c r="J96" s="212">
        <v>4307</v>
      </c>
      <c r="K96" s="217">
        <f t="shared" si="109"/>
        <v>215.35</v>
      </c>
      <c r="L96" s="34">
        <f t="shared" si="102"/>
        <v>20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234.14603680822839</v>
      </c>
      <c r="N96" s="57">
        <v>2</v>
      </c>
      <c r="O96" s="57">
        <v>0</v>
      </c>
      <c r="P96" s="61">
        <f t="shared" si="103"/>
        <v>22</v>
      </c>
      <c r="Q96" s="40">
        <f t="shared" si="110"/>
        <v>468.29207361645678</v>
      </c>
      <c r="R96" s="40">
        <f t="shared" si="111"/>
        <v>0</v>
      </c>
      <c r="S96" s="44">
        <f t="shared" si="112"/>
        <v>5151.2128097810246</v>
      </c>
      <c r="T96" s="35">
        <f t="shared" si="113"/>
        <v>22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253.96887138530084</v>
      </c>
      <c r="V96" s="57">
        <v>0</v>
      </c>
      <c r="W96" s="57">
        <v>0</v>
      </c>
      <c r="X96" s="61">
        <f t="shared" si="104"/>
        <v>22</v>
      </c>
      <c r="Y96" s="40">
        <f t="shared" si="114"/>
        <v>0</v>
      </c>
      <c r="Z96" s="40">
        <f t="shared" si="115"/>
        <v>0</v>
      </c>
      <c r="AA96" s="44">
        <f t="shared" si="116"/>
        <v>5587.3151704766187</v>
      </c>
      <c r="AB96" s="35">
        <f t="shared" si="117"/>
        <v>22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275.21257796499282</v>
      </c>
      <c r="AD96" s="57">
        <v>0</v>
      </c>
      <c r="AE96" s="57">
        <v>0</v>
      </c>
      <c r="AF96" s="61">
        <f t="shared" si="105"/>
        <v>22</v>
      </c>
      <c r="AG96" s="40">
        <f t="shared" si="118"/>
        <v>0</v>
      </c>
      <c r="AH96" s="40">
        <f t="shared" si="119"/>
        <v>0</v>
      </c>
      <c r="AI96" s="44">
        <f t="shared" si="120"/>
        <v>6054.6767152298416</v>
      </c>
      <c r="AJ96" s="35">
        <f t="shared" si="106"/>
        <v>22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297.67554093735799</v>
      </c>
      <c r="AL96" s="57">
        <v>0</v>
      </c>
      <c r="AM96" s="57">
        <v>0</v>
      </c>
      <c r="AN96" s="61">
        <f t="shared" si="107"/>
        <v>22</v>
      </c>
      <c r="AO96" s="40">
        <f t="shared" si="121"/>
        <v>0</v>
      </c>
      <c r="AP96" s="40">
        <f t="shared" si="122"/>
        <v>0</v>
      </c>
      <c r="AQ96" s="44">
        <f t="shared" si="123"/>
        <v>6548.861900621876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11</v>
      </c>
      <c r="G97" s="35">
        <f>SUMIFS(WORKING!$AC$3:$AC$6802,WORKING!$A$3:$A$6802,Results!$D$3,WORKING!$B$3:$B$6802,Results!A97,WORKING!$C$3:$C$6802,Results!C97)/1000</f>
        <v>2790.2458199999996</v>
      </c>
      <c r="H97" s="35">
        <f t="shared" si="108"/>
        <v>253.65871090909087</v>
      </c>
      <c r="I97" s="187">
        <v>11</v>
      </c>
      <c r="J97" s="212">
        <v>3349</v>
      </c>
      <c r="K97" s="217">
        <f t="shared" si="109"/>
        <v>304.45454545454544</v>
      </c>
      <c r="L97" s="34">
        <f t="shared" si="102"/>
        <v>11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331.4929432659427</v>
      </c>
      <c r="N97" s="57">
        <v>0</v>
      </c>
      <c r="O97" s="57">
        <v>0</v>
      </c>
      <c r="P97" s="61">
        <f t="shared" si="103"/>
        <v>11</v>
      </c>
      <c r="Q97" s="40">
        <f t="shared" si="110"/>
        <v>0</v>
      </c>
      <c r="R97" s="40">
        <f t="shared" si="111"/>
        <v>0</v>
      </c>
      <c r="S97" s="44">
        <f t="shared" si="112"/>
        <v>3646.4223759253696</v>
      </c>
      <c r="T97" s="35">
        <f t="shared" si="113"/>
        <v>11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359.69766711477325</v>
      </c>
      <c r="V97" s="57">
        <v>0</v>
      </c>
      <c r="W97" s="57">
        <v>0</v>
      </c>
      <c r="X97" s="61">
        <f t="shared" si="104"/>
        <v>11</v>
      </c>
      <c r="Y97" s="40">
        <f t="shared" si="114"/>
        <v>0</v>
      </c>
      <c r="Z97" s="40">
        <f t="shared" si="115"/>
        <v>0</v>
      </c>
      <c r="AA97" s="44">
        <f t="shared" si="116"/>
        <v>3956.6743382625059</v>
      </c>
      <c r="AB97" s="35">
        <f t="shared" si="117"/>
        <v>11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389.93772451250038</v>
      </c>
      <c r="AD97" s="57">
        <v>0</v>
      </c>
      <c r="AE97" s="57">
        <v>0</v>
      </c>
      <c r="AF97" s="61">
        <f t="shared" si="105"/>
        <v>11</v>
      </c>
      <c r="AG97" s="40">
        <f t="shared" si="118"/>
        <v>0</v>
      </c>
      <c r="AH97" s="40">
        <f t="shared" si="119"/>
        <v>0</v>
      </c>
      <c r="AI97" s="44">
        <f t="shared" si="120"/>
        <v>4289.314969637504</v>
      </c>
      <c r="AJ97" s="35">
        <f t="shared" si="106"/>
        <v>11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421.92993925176393</v>
      </c>
      <c r="AL97" s="57">
        <v>0</v>
      </c>
      <c r="AM97" s="57">
        <v>0</v>
      </c>
      <c r="AN97" s="61">
        <f t="shared" si="107"/>
        <v>11</v>
      </c>
      <c r="AO97" s="40">
        <f t="shared" si="121"/>
        <v>0</v>
      </c>
      <c r="AP97" s="40">
        <f t="shared" si="122"/>
        <v>0</v>
      </c>
      <c r="AQ97" s="44">
        <f t="shared" si="123"/>
        <v>4641.229331769403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127</v>
      </c>
      <c r="G98" s="35">
        <f>SUMIFS(WORKING!$AC$3:$AC$6802,WORKING!$A$3:$A$6802,Results!$D$3,WORKING!$B$3:$B$6802,Results!A98,WORKING!$C$3:$C$6802,Results!C98)/1000</f>
        <v>37599.489320000008</v>
      </c>
      <c r="H98" s="35">
        <f t="shared" si="108"/>
        <v>296.05897102362212</v>
      </c>
      <c r="I98" s="187">
        <v>117</v>
      </c>
      <c r="J98" s="212">
        <v>37418</v>
      </c>
      <c r="K98" s="217">
        <f t="shared" si="109"/>
        <v>319.81196581196582</v>
      </c>
      <c r="L98" s="34">
        <f t="shared" si="102"/>
        <v>117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348.54284398175088</v>
      </c>
      <c r="N98" s="57">
        <v>8</v>
      </c>
      <c r="O98" s="57">
        <v>0</v>
      </c>
      <c r="P98" s="61">
        <f t="shared" si="103"/>
        <v>125</v>
      </c>
      <c r="Q98" s="40">
        <f t="shared" si="110"/>
        <v>2788.342751854007</v>
      </c>
      <c r="R98" s="40">
        <f t="shared" si="111"/>
        <v>0</v>
      </c>
      <c r="S98" s="44">
        <f t="shared" si="112"/>
        <v>43567.855497718861</v>
      </c>
      <c r="T98" s="35">
        <f t="shared" si="113"/>
        <v>125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378.30177078544506</v>
      </c>
      <c r="V98" s="57">
        <v>0</v>
      </c>
      <c r="W98" s="57">
        <v>0</v>
      </c>
      <c r="X98" s="61">
        <f t="shared" si="104"/>
        <v>125</v>
      </c>
      <c r="Y98" s="40">
        <f t="shared" si="114"/>
        <v>0</v>
      </c>
      <c r="Z98" s="40">
        <f t="shared" si="115"/>
        <v>0</v>
      </c>
      <c r="AA98" s="44">
        <f t="shared" si="116"/>
        <v>47287.721348180632</v>
      </c>
      <c r="AB98" s="35">
        <f t="shared" si="117"/>
        <v>125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410.21806407312994</v>
      </c>
      <c r="AD98" s="57">
        <v>0</v>
      </c>
      <c r="AE98" s="57">
        <v>0</v>
      </c>
      <c r="AF98" s="61">
        <f t="shared" si="105"/>
        <v>125</v>
      </c>
      <c r="AG98" s="40">
        <f t="shared" si="118"/>
        <v>0</v>
      </c>
      <c r="AH98" s="40">
        <f t="shared" si="119"/>
        <v>0</v>
      </c>
      <c r="AI98" s="44">
        <f t="shared" si="120"/>
        <v>51277.258009141246</v>
      </c>
      <c r="AJ98" s="35">
        <f t="shared" si="106"/>
        <v>125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443.99538287876885</v>
      </c>
      <c r="AL98" s="57">
        <v>0</v>
      </c>
      <c r="AM98" s="57">
        <v>0</v>
      </c>
      <c r="AN98" s="61">
        <f t="shared" si="107"/>
        <v>125</v>
      </c>
      <c r="AO98" s="40">
        <f t="shared" si="121"/>
        <v>0</v>
      </c>
      <c r="AP98" s="40">
        <f t="shared" si="122"/>
        <v>0</v>
      </c>
      <c r="AQ98" s="44">
        <f t="shared" si="123"/>
        <v>55499.422859846105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110</v>
      </c>
      <c r="G99" s="35">
        <f>SUMIFS(WORKING!$AC$3:$AC$6802,WORKING!$A$3:$A$6802,Results!$D$3,WORKING!$B$3:$B$6802,Results!A99,WORKING!$C$3:$C$6802,Results!C99)/1000</f>
        <v>40917.271070000003</v>
      </c>
      <c r="H99" s="35">
        <f t="shared" si="108"/>
        <v>371.97519154545455</v>
      </c>
      <c r="I99" s="187">
        <v>94</v>
      </c>
      <c r="J99" s="212">
        <v>37415</v>
      </c>
      <c r="K99" s="217">
        <f t="shared" si="109"/>
        <v>398.031914893617</v>
      </c>
      <c r="L99" s="34">
        <f t="shared" si="102"/>
        <v>94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433.93666987739834</v>
      </c>
      <c r="N99" s="57">
        <v>4</v>
      </c>
      <c r="O99" s="57">
        <v>0</v>
      </c>
      <c r="P99" s="61">
        <f t="shared" si="103"/>
        <v>98</v>
      </c>
      <c r="Q99" s="40">
        <f t="shared" si="110"/>
        <v>1735.7466795095934</v>
      </c>
      <c r="R99" s="40">
        <f t="shared" si="111"/>
        <v>0</v>
      </c>
      <c r="S99" s="44">
        <f t="shared" si="112"/>
        <v>42525.79364798504</v>
      </c>
      <c r="T99" s="35">
        <f t="shared" si="113"/>
        <v>98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471.03277136280417</v>
      </c>
      <c r="V99" s="57">
        <v>0</v>
      </c>
      <c r="W99" s="57">
        <v>0</v>
      </c>
      <c r="X99" s="61">
        <f t="shared" si="104"/>
        <v>98</v>
      </c>
      <c r="Y99" s="40">
        <f t="shared" si="114"/>
        <v>0</v>
      </c>
      <c r="Z99" s="40">
        <f t="shared" si="115"/>
        <v>0</v>
      </c>
      <c r="AA99" s="44">
        <f t="shared" si="116"/>
        <v>46161.211593554806</v>
      </c>
      <c r="AB99" s="35">
        <f t="shared" si="117"/>
        <v>98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510.82256597205406</v>
      </c>
      <c r="AD99" s="57">
        <v>0</v>
      </c>
      <c r="AE99" s="57">
        <v>0</v>
      </c>
      <c r="AF99" s="61">
        <f t="shared" si="105"/>
        <v>98</v>
      </c>
      <c r="AG99" s="40">
        <f t="shared" si="118"/>
        <v>0</v>
      </c>
      <c r="AH99" s="40">
        <f t="shared" si="119"/>
        <v>0</v>
      </c>
      <c r="AI99" s="44">
        <f t="shared" si="120"/>
        <v>50060.611465261296</v>
      </c>
      <c r="AJ99" s="35">
        <f t="shared" si="106"/>
        <v>98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552.93775347834116</v>
      </c>
      <c r="AL99" s="57">
        <v>0</v>
      </c>
      <c r="AM99" s="57">
        <v>0</v>
      </c>
      <c r="AN99" s="61">
        <f t="shared" si="107"/>
        <v>98</v>
      </c>
      <c r="AO99" s="40">
        <f t="shared" si="121"/>
        <v>0</v>
      </c>
      <c r="AP99" s="40">
        <f t="shared" si="122"/>
        <v>0</v>
      </c>
      <c r="AQ99" s="44">
        <f t="shared" si="123"/>
        <v>54187.899840877435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2</v>
      </c>
      <c r="G100" s="35">
        <f>SUMIFS(WORKING!$AC$3:$AC$6802,WORKING!$A$3:$A$6802,Results!$D$3,WORKING!$B$3:$B$6802,Results!A100,WORKING!$C$3:$C$6802,Results!C100)/1000</f>
        <v>509.39827000000002</v>
      </c>
      <c r="H100" s="35">
        <f t="shared" si="108"/>
        <v>254.69913500000001</v>
      </c>
      <c r="I100" s="187">
        <v>1</v>
      </c>
      <c r="J100" s="212">
        <v>2111</v>
      </c>
      <c r="K100" s="217">
        <f t="shared" si="109"/>
        <v>2111</v>
      </c>
      <c r="L100" s="34">
        <f t="shared" si="102"/>
        <v>1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2300.1518572513073</v>
      </c>
      <c r="N100" s="57">
        <v>1</v>
      </c>
      <c r="O100" s="57">
        <v>0</v>
      </c>
      <c r="P100" s="61">
        <f t="shared" si="103"/>
        <v>2</v>
      </c>
      <c r="Q100" s="40">
        <f t="shared" si="110"/>
        <v>2300.1518572513073</v>
      </c>
      <c r="R100" s="40">
        <f t="shared" si="111"/>
        <v>0</v>
      </c>
      <c r="S100" s="44">
        <f t="shared" si="112"/>
        <v>4600.3037145026146</v>
      </c>
      <c r="T100" s="35">
        <f t="shared" si="113"/>
        <v>2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2496.4132778097141</v>
      </c>
      <c r="V100" s="57">
        <v>0</v>
      </c>
      <c r="W100" s="57">
        <v>0</v>
      </c>
      <c r="X100" s="61">
        <f t="shared" si="104"/>
        <v>2</v>
      </c>
      <c r="Y100" s="40">
        <f t="shared" si="114"/>
        <v>0</v>
      </c>
      <c r="Z100" s="40">
        <f t="shared" si="115"/>
        <v>0</v>
      </c>
      <c r="AA100" s="44">
        <f t="shared" si="116"/>
        <v>4992.8265556194283</v>
      </c>
      <c r="AB100" s="35">
        <f t="shared" si="117"/>
        <v>2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2706.8891556611097</v>
      </c>
      <c r="AD100" s="57">
        <v>0</v>
      </c>
      <c r="AE100" s="57">
        <v>0</v>
      </c>
      <c r="AF100" s="61">
        <f t="shared" si="105"/>
        <v>2</v>
      </c>
      <c r="AG100" s="40">
        <f t="shared" si="118"/>
        <v>0</v>
      </c>
      <c r="AH100" s="40">
        <f t="shared" si="119"/>
        <v>0</v>
      </c>
      <c r="AI100" s="44">
        <f t="shared" si="120"/>
        <v>5413.7783113222195</v>
      </c>
      <c r="AJ100" s="35">
        <f t="shared" si="106"/>
        <v>2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2929.6203794210105</v>
      </c>
      <c r="AL100" s="57">
        <v>0</v>
      </c>
      <c r="AM100" s="57">
        <v>0</v>
      </c>
      <c r="AN100" s="61">
        <f t="shared" si="107"/>
        <v>2</v>
      </c>
      <c r="AO100" s="40">
        <f t="shared" si="121"/>
        <v>0</v>
      </c>
      <c r="AP100" s="40">
        <f t="shared" si="122"/>
        <v>0</v>
      </c>
      <c r="AQ100" s="44">
        <f t="shared" si="123"/>
        <v>5859.240758842021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353</v>
      </c>
      <c r="G101" s="35">
        <f>SUMIFS(WORKING!$AC$3:$AC$6802,WORKING!$A$3:$A$6802,Results!$D$3,WORKING!$B$3:$B$6802,Results!A101,WORKING!$C$3:$C$6802,Results!C101)/1000</f>
        <v>188649.19008</v>
      </c>
      <c r="H101" s="35">
        <f t="shared" si="108"/>
        <v>534.41696906515585</v>
      </c>
      <c r="I101" s="187">
        <v>306</v>
      </c>
      <c r="J101" s="212">
        <v>170877</v>
      </c>
      <c r="K101" s="217">
        <f t="shared" si="109"/>
        <v>558.42156862745094</v>
      </c>
      <c r="L101" s="34">
        <f t="shared" si="102"/>
        <v>306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609.22242379562704</v>
      </c>
      <c r="N101" s="57">
        <v>19</v>
      </c>
      <c r="O101" s="57">
        <v>0</v>
      </c>
      <c r="P101" s="61">
        <f t="shared" si="103"/>
        <v>325</v>
      </c>
      <c r="Q101" s="40">
        <f t="shared" si="110"/>
        <v>11575.226052116914</v>
      </c>
      <c r="R101" s="40">
        <f t="shared" si="111"/>
        <v>0</v>
      </c>
      <c r="S101" s="44">
        <f t="shared" si="112"/>
        <v>197997.28773357879</v>
      </c>
      <c r="T101" s="35">
        <f t="shared" si="113"/>
        <v>325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661.43804285024578</v>
      </c>
      <c r="V101" s="57">
        <v>0</v>
      </c>
      <c r="W101" s="57">
        <v>0</v>
      </c>
      <c r="X101" s="61">
        <f t="shared" si="104"/>
        <v>325</v>
      </c>
      <c r="Y101" s="40">
        <f t="shared" si="114"/>
        <v>0</v>
      </c>
      <c r="Z101" s="40">
        <f t="shared" si="115"/>
        <v>0</v>
      </c>
      <c r="AA101" s="44">
        <f t="shared" si="116"/>
        <v>214967.36392632988</v>
      </c>
      <c r="AB101" s="35">
        <f t="shared" si="117"/>
        <v>325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717.45814769885635</v>
      </c>
      <c r="AD101" s="57">
        <v>0</v>
      </c>
      <c r="AE101" s="57">
        <v>0</v>
      </c>
      <c r="AF101" s="61">
        <f t="shared" si="105"/>
        <v>325</v>
      </c>
      <c r="AG101" s="40">
        <f t="shared" si="118"/>
        <v>0</v>
      </c>
      <c r="AH101" s="40">
        <f t="shared" si="119"/>
        <v>0</v>
      </c>
      <c r="AI101" s="44">
        <f t="shared" si="120"/>
        <v>233173.89800212832</v>
      </c>
      <c r="AJ101" s="35">
        <f t="shared" si="106"/>
        <v>325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776.76752219973412</v>
      </c>
      <c r="AL101" s="57">
        <v>0</v>
      </c>
      <c r="AM101" s="57">
        <v>0</v>
      </c>
      <c r="AN101" s="61">
        <f t="shared" si="107"/>
        <v>325</v>
      </c>
      <c r="AO101" s="40">
        <f t="shared" si="121"/>
        <v>0</v>
      </c>
      <c r="AP101" s="40">
        <f t="shared" si="122"/>
        <v>0</v>
      </c>
      <c r="AQ101" s="44">
        <f t="shared" si="123"/>
        <v>252449.44471491358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5</v>
      </c>
      <c r="G102" s="35">
        <f>SUMIFS(WORKING!$AC$3:$AC$6802,WORKING!$A$3:$A$6802,Results!$D$3,WORKING!$B$3:$B$6802,Results!A102,WORKING!$C$3:$C$6802,Results!C102)/1000</f>
        <v>3601.4290099999998</v>
      </c>
      <c r="H102" s="35">
        <f t="shared" si="108"/>
        <v>720.28580199999999</v>
      </c>
      <c r="I102" s="187">
        <v>0</v>
      </c>
      <c r="J102" s="212" t="s">
        <v>754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786.38643014720003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853.76564205838383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926.05176532611756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1002.5789190192221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211</v>
      </c>
      <c r="G103" s="35">
        <f>SUMIFS(WORKING!$AC$3:$AC$6802,WORKING!$A$3:$A$6802,Results!$D$3,WORKING!$B$3:$B$6802,Results!A103,WORKING!$C$3:$C$6802,Results!C103)/1000</f>
        <v>163906.12591999996</v>
      </c>
      <c r="H103" s="35">
        <f t="shared" si="108"/>
        <v>776.8062839810425</v>
      </c>
      <c r="I103" s="187">
        <v>178</v>
      </c>
      <c r="J103" s="212">
        <v>145720</v>
      </c>
      <c r="K103" s="217">
        <f t="shared" si="109"/>
        <v>818.65168539325839</v>
      </c>
      <c r="L103" s="34">
        <f t="shared" si="102"/>
        <v>178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893.70293105294763</v>
      </c>
      <c r="N103" s="57">
        <v>21</v>
      </c>
      <c r="O103" s="57">
        <v>0</v>
      </c>
      <c r="P103" s="61">
        <f t="shared" si="103"/>
        <v>199</v>
      </c>
      <c r="Q103" s="40">
        <f t="shared" si="110"/>
        <v>18767.761552111901</v>
      </c>
      <c r="R103" s="40">
        <f t="shared" si="111"/>
        <v>0</v>
      </c>
      <c r="S103" s="44">
        <f t="shared" si="112"/>
        <v>177846.88327953659</v>
      </c>
      <c r="T103" s="35">
        <f t="shared" si="113"/>
        <v>199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970.19428187458766</v>
      </c>
      <c r="V103" s="57">
        <v>0</v>
      </c>
      <c r="W103" s="57">
        <v>0</v>
      </c>
      <c r="X103" s="61">
        <f t="shared" si="104"/>
        <v>199</v>
      </c>
      <c r="Y103" s="40">
        <f t="shared" si="114"/>
        <v>0</v>
      </c>
      <c r="Z103" s="40">
        <f t="shared" si="115"/>
        <v>0</v>
      </c>
      <c r="AA103" s="44">
        <f t="shared" si="116"/>
        <v>193068.66209304295</v>
      </c>
      <c r="AB103" s="35">
        <f t="shared" si="117"/>
        <v>199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1052.2481395413306</v>
      </c>
      <c r="AD103" s="57">
        <v>0</v>
      </c>
      <c r="AE103" s="57">
        <v>0</v>
      </c>
      <c r="AF103" s="61">
        <f t="shared" si="105"/>
        <v>199</v>
      </c>
      <c r="AG103" s="40">
        <f t="shared" si="118"/>
        <v>0</v>
      </c>
      <c r="AH103" s="40">
        <f t="shared" si="119"/>
        <v>0</v>
      </c>
      <c r="AI103" s="44">
        <f t="shared" si="120"/>
        <v>209397.37976872479</v>
      </c>
      <c r="AJ103" s="35">
        <f t="shared" si="106"/>
        <v>199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1139.1065173581574</v>
      </c>
      <c r="AL103" s="57">
        <v>0</v>
      </c>
      <c r="AM103" s="57">
        <v>0</v>
      </c>
      <c r="AN103" s="61">
        <f t="shared" si="107"/>
        <v>199</v>
      </c>
      <c r="AO103" s="40">
        <f t="shared" si="121"/>
        <v>0</v>
      </c>
      <c r="AP103" s="40">
        <f t="shared" si="122"/>
        <v>0</v>
      </c>
      <c r="AQ103" s="44">
        <f t="shared" si="123"/>
        <v>226682.19695427333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117</v>
      </c>
      <c r="G104" s="35">
        <f>SUMIFS(WORKING!$AC$3:$AC$6802,WORKING!$A$3:$A$6802,Results!$D$3,WORKING!$B$3:$B$6802,Results!A104,WORKING!$C$3:$C$6802,Results!C104)/1000</f>
        <v>111394.86503999999</v>
      </c>
      <c r="H104" s="35">
        <f t="shared" si="108"/>
        <v>952.0928635897435</v>
      </c>
      <c r="I104" s="187">
        <v>119</v>
      </c>
      <c r="J104" s="212">
        <v>109638</v>
      </c>
      <c r="K104" s="217">
        <f t="shared" si="109"/>
        <v>921.32773109243692</v>
      </c>
      <c r="L104" s="34">
        <f t="shared" si="102"/>
        <v>119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965.65512899400585</v>
      </c>
      <c r="N104" s="57">
        <v>4</v>
      </c>
      <c r="O104" s="57">
        <v>0</v>
      </c>
      <c r="P104" s="61">
        <f t="shared" si="103"/>
        <v>123</v>
      </c>
      <c r="Q104" s="40">
        <f t="shared" si="110"/>
        <v>3862.6205159760234</v>
      </c>
      <c r="R104" s="40">
        <f t="shared" si="111"/>
        <v>0</v>
      </c>
      <c r="S104" s="44">
        <f t="shared" si="112"/>
        <v>118775.58086626272</v>
      </c>
      <c r="T104" s="35">
        <f t="shared" si="113"/>
        <v>123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1038.5693547397259</v>
      </c>
      <c r="V104" s="57">
        <v>0</v>
      </c>
      <c r="W104" s="57">
        <v>0</v>
      </c>
      <c r="X104" s="61">
        <f t="shared" si="104"/>
        <v>123</v>
      </c>
      <c r="Y104" s="40">
        <f t="shared" si="114"/>
        <v>0</v>
      </c>
      <c r="Z104" s="40">
        <f t="shared" si="115"/>
        <v>0</v>
      </c>
      <c r="AA104" s="44">
        <f t="shared" si="116"/>
        <v>127744.03063298628</v>
      </c>
      <c r="AB104" s="35">
        <f t="shared" si="117"/>
        <v>123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1115.9353896267698</v>
      </c>
      <c r="AD104" s="57">
        <v>0</v>
      </c>
      <c r="AE104" s="57">
        <v>0</v>
      </c>
      <c r="AF104" s="61">
        <f t="shared" si="105"/>
        <v>123</v>
      </c>
      <c r="AG104" s="40">
        <f t="shared" si="118"/>
        <v>0</v>
      </c>
      <c r="AH104" s="40">
        <f t="shared" si="119"/>
        <v>0</v>
      </c>
      <c r="AI104" s="44">
        <f t="shared" si="120"/>
        <v>137260.05292409268</v>
      </c>
      <c r="AJ104" s="35">
        <f t="shared" si="106"/>
        <v>123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1196.8001217402252</v>
      </c>
      <c r="AL104" s="57">
        <v>0</v>
      </c>
      <c r="AM104" s="57">
        <v>0</v>
      </c>
      <c r="AN104" s="61">
        <f t="shared" si="107"/>
        <v>123</v>
      </c>
      <c r="AO104" s="40">
        <f t="shared" si="121"/>
        <v>0</v>
      </c>
      <c r="AP104" s="40">
        <f t="shared" si="122"/>
        <v>0</v>
      </c>
      <c r="AQ104" s="44">
        <f t="shared" si="123"/>
        <v>147206.41497404772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53</v>
      </c>
      <c r="G105" s="35">
        <f>SUMIFS(WORKING!$AC$3:$AC$6802,WORKING!$A$3:$A$6802,Results!$D$3,WORKING!$B$3:$B$6802,Results!A105,WORKING!$C$3:$C$6802,Results!C105)/1000</f>
        <v>65767.851720000035</v>
      </c>
      <c r="H105" s="35">
        <f t="shared" si="108"/>
        <v>1240.9028626415102</v>
      </c>
      <c r="I105" s="187">
        <v>50</v>
      </c>
      <c r="J105" s="212">
        <v>60893</v>
      </c>
      <c r="K105" s="217">
        <f t="shared" si="109"/>
        <v>1217.8599999999999</v>
      </c>
      <c r="L105" s="34">
        <f t="shared" si="102"/>
        <v>50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1276.5221125195385</v>
      </c>
      <c r="N105" s="57">
        <v>5</v>
      </c>
      <c r="O105" s="57">
        <v>0</v>
      </c>
      <c r="P105" s="61">
        <f t="shared" si="103"/>
        <v>55</v>
      </c>
      <c r="Q105" s="40">
        <f t="shared" si="110"/>
        <v>6382.6105625976925</v>
      </c>
      <c r="R105" s="40">
        <f t="shared" si="111"/>
        <v>0</v>
      </c>
      <c r="S105" s="44">
        <f t="shared" si="112"/>
        <v>70208.716188574617</v>
      </c>
      <c r="T105" s="35">
        <f t="shared" si="113"/>
        <v>55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1372.9820573310299</v>
      </c>
      <c r="V105" s="57">
        <v>0</v>
      </c>
      <c r="W105" s="57">
        <v>0</v>
      </c>
      <c r="X105" s="61">
        <f t="shared" si="104"/>
        <v>55</v>
      </c>
      <c r="Y105" s="40">
        <f t="shared" si="114"/>
        <v>0</v>
      </c>
      <c r="Z105" s="40">
        <f t="shared" si="115"/>
        <v>0</v>
      </c>
      <c r="AA105" s="44">
        <f t="shared" si="116"/>
        <v>75514.013153206644</v>
      </c>
      <c r="AB105" s="35">
        <f t="shared" si="117"/>
        <v>55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1475.3378215534678</v>
      </c>
      <c r="AD105" s="57">
        <v>0</v>
      </c>
      <c r="AE105" s="57">
        <v>0</v>
      </c>
      <c r="AF105" s="61">
        <f t="shared" si="105"/>
        <v>55</v>
      </c>
      <c r="AG105" s="40">
        <f t="shared" si="118"/>
        <v>0</v>
      </c>
      <c r="AH105" s="40">
        <f t="shared" si="119"/>
        <v>0</v>
      </c>
      <c r="AI105" s="44">
        <f t="shared" si="120"/>
        <v>81143.580185440733</v>
      </c>
      <c r="AJ105" s="35">
        <f t="shared" si="106"/>
        <v>55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1582.3302021343736</v>
      </c>
      <c r="AL105" s="57">
        <v>0</v>
      </c>
      <c r="AM105" s="57">
        <v>0</v>
      </c>
      <c r="AN105" s="61">
        <f t="shared" si="107"/>
        <v>55</v>
      </c>
      <c r="AO105" s="40">
        <f t="shared" si="121"/>
        <v>0</v>
      </c>
      <c r="AP105" s="40">
        <f t="shared" si="122"/>
        <v>0</v>
      </c>
      <c r="AQ105" s="44">
        <f t="shared" si="123"/>
        <v>87028.161117390555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8</v>
      </c>
      <c r="G106" s="35">
        <f>SUMIFS(WORKING!$AC$3:$AC$6802,WORKING!$A$3:$A$6802,Results!$D$3,WORKING!$B$3:$B$6802,Results!A106,WORKING!$C$3:$C$6802,Results!C106)/1000</f>
        <v>9593.5056400000012</v>
      </c>
      <c r="H106" s="35">
        <f t="shared" si="108"/>
        <v>1199.1882050000002</v>
      </c>
      <c r="I106" s="187">
        <v>8</v>
      </c>
      <c r="J106" s="212">
        <v>11332</v>
      </c>
      <c r="K106" s="217">
        <f t="shared" si="109"/>
        <v>1416.5</v>
      </c>
      <c r="L106" s="34">
        <f t="shared" si="102"/>
        <v>8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1484.5965571963302</v>
      </c>
      <c r="N106" s="57">
        <v>0</v>
      </c>
      <c r="O106" s="57">
        <v>0</v>
      </c>
      <c r="P106" s="61">
        <f t="shared" si="103"/>
        <v>8</v>
      </c>
      <c r="Q106" s="40">
        <f t="shared" si="110"/>
        <v>0</v>
      </c>
      <c r="R106" s="40">
        <f t="shared" si="111"/>
        <v>0</v>
      </c>
      <c r="S106" s="44">
        <f t="shared" si="112"/>
        <v>11876.772457570642</v>
      </c>
      <c r="T106" s="35">
        <f t="shared" si="113"/>
        <v>8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1596.6358007137896</v>
      </c>
      <c r="V106" s="57">
        <v>0</v>
      </c>
      <c r="W106" s="57">
        <v>0</v>
      </c>
      <c r="X106" s="61">
        <f t="shared" si="104"/>
        <v>8</v>
      </c>
      <c r="Y106" s="40">
        <f t="shared" si="114"/>
        <v>0</v>
      </c>
      <c r="Z106" s="40">
        <f t="shared" si="115"/>
        <v>0</v>
      </c>
      <c r="AA106" s="44">
        <f t="shared" si="116"/>
        <v>12773.086405710317</v>
      </c>
      <c r="AB106" s="35">
        <f t="shared" si="117"/>
        <v>8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1715.5104656763981</v>
      </c>
      <c r="AD106" s="57">
        <v>0</v>
      </c>
      <c r="AE106" s="57">
        <v>0</v>
      </c>
      <c r="AF106" s="61">
        <f t="shared" si="105"/>
        <v>8</v>
      </c>
      <c r="AG106" s="40">
        <f t="shared" si="118"/>
        <v>0</v>
      </c>
      <c r="AH106" s="40">
        <f t="shared" si="119"/>
        <v>0</v>
      </c>
      <c r="AI106" s="44">
        <f t="shared" si="120"/>
        <v>13724.083725411185</v>
      </c>
      <c r="AJ106" s="35">
        <f t="shared" si="106"/>
        <v>8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1839.7546440492815</v>
      </c>
      <c r="AL106" s="57">
        <v>0</v>
      </c>
      <c r="AM106" s="57">
        <v>0</v>
      </c>
      <c r="AN106" s="61">
        <f t="shared" si="107"/>
        <v>8</v>
      </c>
      <c r="AO106" s="40">
        <f t="shared" si="121"/>
        <v>0</v>
      </c>
      <c r="AP106" s="40">
        <f t="shared" si="122"/>
        <v>0</v>
      </c>
      <c r="AQ106" s="44">
        <f t="shared" si="123"/>
        <v>14718.037152394252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756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>
        <v>1683</v>
      </c>
      <c r="J108" s="212">
        <v>618322</v>
      </c>
      <c r="K108" s="217">
        <f t="shared" si="109"/>
        <v>367.39275103980987</v>
      </c>
      <c r="L108" s="34">
        <f t="shared" si="102"/>
        <v>1683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379.51671182412355</v>
      </c>
      <c r="N108" s="57">
        <v>123</v>
      </c>
      <c r="O108" s="57">
        <v>0</v>
      </c>
      <c r="P108" s="61">
        <f t="shared" si="103"/>
        <v>1806</v>
      </c>
      <c r="Q108" s="40">
        <f t="shared" si="110"/>
        <v>46680.555554367194</v>
      </c>
      <c r="R108" s="40">
        <f t="shared" si="111"/>
        <v>0</v>
      </c>
      <c r="S108" s="44">
        <f t="shared" si="112"/>
        <v>685407.18155436718</v>
      </c>
      <c r="T108" s="35">
        <f t="shared" si="113"/>
        <v>1806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402.28771453357098</v>
      </c>
      <c r="V108" s="57">
        <v>0</v>
      </c>
      <c r="W108" s="57">
        <v>19</v>
      </c>
      <c r="X108" s="61">
        <f t="shared" si="104"/>
        <v>1787</v>
      </c>
      <c r="Y108" s="40">
        <f t="shared" si="114"/>
        <v>0</v>
      </c>
      <c r="Z108" s="40">
        <f t="shared" si="115"/>
        <v>-7643.4665761378483</v>
      </c>
      <c r="AA108" s="44">
        <f t="shared" si="116"/>
        <v>718888.14587149129</v>
      </c>
      <c r="AB108" s="35">
        <f t="shared" si="117"/>
        <v>1787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426.02268969105165</v>
      </c>
      <c r="AD108" s="57">
        <v>0</v>
      </c>
      <c r="AE108" s="57">
        <v>40</v>
      </c>
      <c r="AF108" s="61">
        <f t="shared" si="105"/>
        <v>1747</v>
      </c>
      <c r="AG108" s="40">
        <f t="shared" si="118"/>
        <v>0</v>
      </c>
      <c r="AH108" s="40">
        <f t="shared" si="119"/>
        <v>-17040.907587642065</v>
      </c>
      <c r="AI108" s="44">
        <f t="shared" si="120"/>
        <v>744261.63889026723</v>
      </c>
      <c r="AJ108" s="35">
        <f t="shared" si="106"/>
        <v>1747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450.30598300344155</v>
      </c>
      <c r="AL108" s="57">
        <v>0</v>
      </c>
      <c r="AM108" s="57">
        <v>46</v>
      </c>
      <c r="AN108" s="61">
        <f t="shared" si="107"/>
        <v>1701</v>
      </c>
      <c r="AO108" s="40">
        <f t="shared" si="121"/>
        <v>0</v>
      </c>
      <c r="AP108" s="40">
        <f t="shared" si="122"/>
        <v>-20714.075218158312</v>
      </c>
      <c r="AQ108" s="44">
        <f t="shared" si="123"/>
        <v>765970.47708885407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757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>
        <v>687</v>
      </c>
      <c r="J109" s="212">
        <v>701242</v>
      </c>
      <c r="K109" s="217">
        <f t="shared" si="109"/>
        <v>1020.7307132459971</v>
      </c>
      <c r="L109" s="34">
        <f t="shared" si="102"/>
        <v>687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1054.4148267831149</v>
      </c>
      <c r="N109" s="57">
        <v>28</v>
      </c>
      <c r="O109" s="57">
        <v>0</v>
      </c>
      <c r="P109" s="61">
        <f t="shared" si="103"/>
        <v>715</v>
      </c>
      <c r="Q109" s="40">
        <f t="shared" si="110"/>
        <v>29523.615149927216</v>
      </c>
      <c r="R109" s="40">
        <f t="shared" si="111"/>
        <v>0</v>
      </c>
      <c r="S109" s="44">
        <f t="shared" si="112"/>
        <v>753906.60114992713</v>
      </c>
      <c r="T109" s="35">
        <f t="shared" si="113"/>
        <v>715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1117.6797163901019</v>
      </c>
      <c r="V109" s="57">
        <v>0</v>
      </c>
      <c r="W109" s="57">
        <v>0</v>
      </c>
      <c r="X109" s="61">
        <f t="shared" si="104"/>
        <v>715</v>
      </c>
      <c r="Y109" s="40">
        <f t="shared" si="114"/>
        <v>0</v>
      </c>
      <c r="Z109" s="40">
        <f t="shared" si="115"/>
        <v>0</v>
      </c>
      <c r="AA109" s="44">
        <f t="shared" si="116"/>
        <v>799140.99721892283</v>
      </c>
      <c r="AB109" s="35">
        <f t="shared" si="117"/>
        <v>715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1183.6228196571178</v>
      </c>
      <c r="AD109" s="57">
        <v>0</v>
      </c>
      <c r="AE109" s="57">
        <v>0</v>
      </c>
      <c r="AF109" s="61">
        <f t="shared" si="105"/>
        <v>715</v>
      </c>
      <c r="AG109" s="40">
        <f t="shared" si="118"/>
        <v>0</v>
      </c>
      <c r="AH109" s="40">
        <f t="shared" si="119"/>
        <v>0</v>
      </c>
      <c r="AI109" s="44">
        <f t="shared" si="120"/>
        <v>846290.31605483929</v>
      </c>
      <c r="AJ109" s="35">
        <f t="shared" si="106"/>
        <v>715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1251.0893203775734</v>
      </c>
      <c r="AL109" s="57">
        <v>0</v>
      </c>
      <c r="AM109" s="57">
        <v>0</v>
      </c>
      <c r="AN109" s="61">
        <f t="shared" si="107"/>
        <v>715</v>
      </c>
      <c r="AO109" s="40">
        <f t="shared" si="121"/>
        <v>0</v>
      </c>
      <c r="AP109" s="40">
        <f t="shared" si="122"/>
        <v>0</v>
      </c>
      <c r="AQ109" s="44">
        <f t="shared" si="123"/>
        <v>894528.86406996497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1041</v>
      </c>
      <c r="G112" s="41">
        <f>SUM(G92:G111)</f>
        <v>633218.75058999995</v>
      </c>
      <c r="H112" s="41">
        <f>IFERROR(G112/F112,0)</f>
        <v>608.27929931796348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3274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1906225.4290100001</v>
      </c>
      <c r="K112" s="41">
        <f>IFERROR(J112/I112,"")</f>
        <v>582.2313466737935</v>
      </c>
      <c r="L112" s="41">
        <f>SUM(L92:L111)</f>
        <v>3274</v>
      </c>
      <c r="M112" s="41">
        <f>IFERROR(S112/P112,0)</f>
        <v>606.33723453016069</v>
      </c>
      <c r="N112" s="41">
        <f t="shared" ref="N112:T112" si="124">SUM(N92:N111)</f>
        <v>215</v>
      </c>
      <c r="O112" s="41">
        <f t="shared" si="124"/>
        <v>0</v>
      </c>
      <c r="P112" s="41">
        <f t="shared" si="124"/>
        <v>3489</v>
      </c>
      <c r="Q112" s="41">
        <f t="shared" si="124"/>
        <v>124084.92274932831</v>
      </c>
      <c r="R112" s="41">
        <f t="shared" si="124"/>
        <v>0</v>
      </c>
      <c r="S112" s="45">
        <f t="shared" si="124"/>
        <v>2115510.6112757307</v>
      </c>
      <c r="T112" s="41">
        <f t="shared" si="124"/>
        <v>3489</v>
      </c>
      <c r="U112" s="41">
        <f>IFERROR(AA112/X112,0)</f>
        <v>648.43863063624906</v>
      </c>
      <c r="V112" s="41">
        <f t="shared" ref="V112:AB112" si="125">SUM(V92:V111)</f>
        <v>0</v>
      </c>
      <c r="W112" s="41">
        <f t="shared" si="125"/>
        <v>19</v>
      </c>
      <c r="X112" s="41">
        <f t="shared" si="125"/>
        <v>3470</v>
      </c>
      <c r="Y112" s="41">
        <f t="shared" si="125"/>
        <v>0</v>
      </c>
      <c r="Z112" s="41">
        <f t="shared" si="125"/>
        <v>-7643.4665761378483</v>
      </c>
      <c r="AA112" s="45">
        <f t="shared" si="125"/>
        <v>2250082.0483077844</v>
      </c>
      <c r="AB112" s="41">
        <f t="shared" si="125"/>
        <v>3470</v>
      </c>
      <c r="AC112" s="41">
        <f>IFERROR(AI112/AF112,0)</f>
        <v>694.56168776136928</v>
      </c>
      <c r="AD112" s="41">
        <f t="shared" ref="AD112:AJ112" si="126">SUM(AD92:AD111)</f>
        <v>0</v>
      </c>
      <c r="AE112" s="41">
        <f t="shared" si="126"/>
        <v>40</v>
      </c>
      <c r="AF112" s="41">
        <f t="shared" si="126"/>
        <v>3430</v>
      </c>
      <c r="AG112" s="41">
        <f t="shared" si="126"/>
        <v>0</v>
      </c>
      <c r="AH112" s="41">
        <f t="shared" si="126"/>
        <v>-17040.907587642065</v>
      </c>
      <c r="AI112" s="45">
        <f t="shared" si="126"/>
        <v>2382346.5890214965</v>
      </c>
      <c r="AJ112" s="41">
        <f t="shared" si="126"/>
        <v>3430</v>
      </c>
      <c r="AK112" s="41">
        <f>IFERROR(AQ112/AN112,0)</f>
        <v>743.29794644320191</v>
      </c>
      <c r="AL112" s="41">
        <f t="shared" ref="AL112:AQ112" si="127">SUM(AL92:AL111)</f>
        <v>0</v>
      </c>
      <c r="AM112" s="41">
        <f t="shared" si="127"/>
        <v>46</v>
      </c>
      <c r="AN112" s="41">
        <f t="shared" si="127"/>
        <v>3384</v>
      </c>
      <c r="AO112" s="41">
        <f t="shared" si="127"/>
        <v>0</v>
      </c>
      <c r="AP112" s="41">
        <f t="shared" si="127"/>
        <v>-20714.075218158312</v>
      </c>
      <c r="AQ112" s="45">
        <f t="shared" si="127"/>
        <v>2515320.2507637953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1834429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1633446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1667536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1794268.736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-281081.61127573065</v>
      </c>
      <c r="T114" s="39"/>
      <c r="U114" s="39"/>
      <c r="V114" s="53"/>
      <c r="W114" s="53"/>
      <c r="X114" s="110"/>
      <c r="Y114" s="39"/>
      <c r="Z114" s="39"/>
      <c r="AA114" s="54">
        <f>AA113-AA112</f>
        <v>-616636.04830778437</v>
      </c>
      <c r="AB114" s="39"/>
      <c r="AC114" s="53"/>
      <c r="AD114" s="53"/>
      <c r="AE114" s="110"/>
      <c r="AF114" s="39"/>
      <c r="AG114" s="39"/>
      <c r="AH114" s="39"/>
      <c r="AI114" s="54">
        <f>AI113-AI112</f>
        <v>-714810.58902149647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-721051.51476379531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International Cooperation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62.500479999999996</v>
      </c>
      <c r="H121" s="35">
        <f t="shared" ref="H121:H139" si="134">IFERROR(G121/F121,0)</f>
        <v>0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18.17596</v>
      </c>
      <c r="H123" s="35">
        <f t="shared" si="134"/>
        <v>0</v>
      </c>
      <c r="I123" s="187">
        <v>0</v>
      </c>
      <c r="J123" s="212">
        <v>0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52</v>
      </c>
      <c r="G124" s="35">
        <f>SUMIFS(WORKING!$AC$3:$AC$6802,WORKING!$A$3:$A$6802,Results!$D$3,WORKING!$B$3:$B$6802,Results!A124,WORKING!$C$3:$C$6802,Results!C124)/1000</f>
        <v>12726.262909999999</v>
      </c>
      <c r="H124" s="35">
        <f t="shared" si="134"/>
        <v>244.73582519230769</v>
      </c>
      <c r="I124" s="187">
        <v>1</v>
      </c>
      <c r="J124" s="212">
        <v>241</v>
      </c>
      <c r="K124" s="217">
        <f t="shared" si="135"/>
        <v>241</v>
      </c>
      <c r="L124" s="34">
        <f t="shared" si="128"/>
        <v>1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262.03490764312687</v>
      </c>
      <c r="N124" s="57">
        <v>0</v>
      </c>
      <c r="O124" s="57">
        <v>0</v>
      </c>
      <c r="P124" s="61">
        <f t="shared" si="129"/>
        <v>1</v>
      </c>
      <c r="Q124" s="40">
        <f t="shared" si="136"/>
        <v>0</v>
      </c>
      <c r="R124" s="40">
        <f t="shared" si="137"/>
        <v>0</v>
      </c>
      <c r="S124" s="44">
        <f t="shared" si="138"/>
        <v>262.03490764312687</v>
      </c>
      <c r="T124" s="35">
        <f t="shared" si="139"/>
        <v>1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284.22032880070168</v>
      </c>
      <c r="V124" s="57">
        <v>0</v>
      </c>
      <c r="W124" s="57">
        <v>0</v>
      </c>
      <c r="X124" s="61">
        <f t="shared" si="130"/>
        <v>1</v>
      </c>
      <c r="Y124" s="40">
        <f t="shared" si="140"/>
        <v>0</v>
      </c>
      <c r="Z124" s="40">
        <f t="shared" si="141"/>
        <v>0</v>
      </c>
      <c r="AA124" s="44">
        <f t="shared" si="142"/>
        <v>284.22032880070168</v>
      </c>
      <c r="AB124" s="35">
        <f t="shared" si="143"/>
        <v>1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307.99604918594832</v>
      </c>
      <c r="AD124" s="57">
        <v>0</v>
      </c>
      <c r="AE124" s="57">
        <v>0</v>
      </c>
      <c r="AF124" s="61">
        <f t="shared" si="131"/>
        <v>1</v>
      </c>
      <c r="AG124" s="40">
        <f t="shared" si="144"/>
        <v>0</v>
      </c>
      <c r="AH124" s="40">
        <f t="shared" si="145"/>
        <v>0</v>
      </c>
      <c r="AI124" s="44">
        <f t="shared" si="146"/>
        <v>307.99604918594832</v>
      </c>
      <c r="AJ124" s="35">
        <f t="shared" si="132"/>
        <v>1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333.13637540580362</v>
      </c>
      <c r="AL124" s="57">
        <v>0</v>
      </c>
      <c r="AM124" s="57">
        <v>0</v>
      </c>
      <c r="AN124" s="61">
        <f t="shared" si="133"/>
        <v>1</v>
      </c>
      <c r="AO124" s="40">
        <f t="shared" si="147"/>
        <v>0</v>
      </c>
      <c r="AP124" s="40">
        <f t="shared" si="148"/>
        <v>0</v>
      </c>
      <c r="AQ124" s="44">
        <f t="shared" si="149"/>
        <v>333.13637540580362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10</v>
      </c>
      <c r="G125" s="35">
        <f>SUMIFS(WORKING!$AC$3:$AC$6802,WORKING!$A$3:$A$6802,Results!$D$3,WORKING!$B$3:$B$6802,Results!A125,WORKING!$C$3:$C$6802,Results!C125)/1000</f>
        <v>2842.4429700000001</v>
      </c>
      <c r="H125" s="35">
        <f t="shared" si="134"/>
        <v>284.24429700000002</v>
      </c>
      <c r="I125" s="187">
        <v>2</v>
      </c>
      <c r="J125" s="212">
        <v>440</v>
      </c>
      <c r="K125" s="217">
        <f t="shared" si="135"/>
        <v>220</v>
      </c>
      <c r="L125" s="34">
        <f t="shared" si="128"/>
        <v>2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239.32638052314411</v>
      </c>
      <c r="N125" s="57">
        <v>2</v>
      </c>
      <c r="O125" s="57">
        <v>0</v>
      </c>
      <c r="P125" s="61">
        <f t="shared" si="129"/>
        <v>4</v>
      </c>
      <c r="Q125" s="40">
        <f t="shared" si="136"/>
        <v>478.65276104628822</v>
      </c>
      <c r="R125" s="40">
        <f t="shared" si="137"/>
        <v>0</v>
      </c>
      <c r="S125" s="44">
        <f t="shared" si="138"/>
        <v>957.30552209257644</v>
      </c>
      <c r="T125" s="35">
        <f t="shared" si="139"/>
        <v>4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259.62618695000248</v>
      </c>
      <c r="V125" s="57">
        <v>0</v>
      </c>
      <c r="W125" s="57">
        <v>0</v>
      </c>
      <c r="X125" s="61">
        <f t="shared" si="130"/>
        <v>4</v>
      </c>
      <c r="Y125" s="40">
        <f t="shared" si="140"/>
        <v>0</v>
      </c>
      <c r="Z125" s="40">
        <f t="shared" si="141"/>
        <v>0</v>
      </c>
      <c r="AA125" s="44">
        <f t="shared" si="142"/>
        <v>1038.5047478000099</v>
      </c>
      <c r="AB125" s="35">
        <f t="shared" si="143"/>
        <v>4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281.38474890307367</v>
      </c>
      <c r="AD125" s="57">
        <v>0</v>
      </c>
      <c r="AE125" s="57">
        <v>0</v>
      </c>
      <c r="AF125" s="61">
        <f t="shared" si="131"/>
        <v>4</v>
      </c>
      <c r="AG125" s="40">
        <f t="shared" si="144"/>
        <v>0</v>
      </c>
      <c r="AH125" s="40">
        <f t="shared" si="145"/>
        <v>0</v>
      </c>
      <c r="AI125" s="44">
        <f t="shared" si="146"/>
        <v>1125.5389956122947</v>
      </c>
      <c r="AJ125" s="35">
        <f t="shared" si="132"/>
        <v>4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304.39656712572867</v>
      </c>
      <c r="AL125" s="57">
        <v>0</v>
      </c>
      <c r="AM125" s="57">
        <v>0</v>
      </c>
      <c r="AN125" s="61">
        <f t="shared" si="133"/>
        <v>4</v>
      </c>
      <c r="AO125" s="40">
        <f t="shared" si="147"/>
        <v>0</v>
      </c>
      <c r="AP125" s="40">
        <f t="shared" si="148"/>
        <v>0</v>
      </c>
      <c r="AQ125" s="44">
        <f t="shared" si="149"/>
        <v>1217.5862685029147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41</v>
      </c>
      <c r="G126" s="35">
        <f>SUMIFS(WORKING!$AC$3:$AC$6802,WORKING!$A$3:$A$6802,Results!$D$3,WORKING!$B$3:$B$6802,Results!A126,WORKING!$C$3:$C$6802,Results!C126)/1000</f>
        <v>13417.12607</v>
      </c>
      <c r="H126" s="35">
        <f t="shared" si="134"/>
        <v>327.24697731707317</v>
      </c>
      <c r="I126" s="187">
        <v>6</v>
      </c>
      <c r="J126" s="212">
        <v>1836</v>
      </c>
      <c r="K126" s="217">
        <f t="shared" si="135"/>
        <v>306</v>
      </c>
      <c r="L126" s="34">
        <f t="shared" si="128"/>
        <v>6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333.09317647560442</v>
      </c>
      <c r="N126" s="57">
        <v>0</v>
      </c>
      <c r="O126" s="57">
        <v>0</v>
      </c>
      <c r="P126" s="61">
        <f t="shared" si="129"/>
        <v>6</v>
      </c>
      <c r="Q126" s="40">
        <f t="shared" si="136"/>
        <v>0</v>
      </c>
      <c r="R126" s="40">
        <f t="shared" si="137"/>
        <v>0</v>
      </c>
      <c r="S126" s="44">
        <f t="shared" si="138"/>
        <v>1998.5590588536265</v>
      </c>
      <c r="T126" s="35">
        <f t="shared" si="139"/>
        <v>6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361.41255146928228</v>
      </c>
      <c r="V126" s="57">
        <v>0</v>
      </c>
      <c r="W126" s="57">
        <v>0</v>
      </c>
      <c r="X126" s="61">
        <f t="shared" si="130"/>
        <v>6</v>
      </c>
      <c r="Y126" s="40">
        <f t="shared" si="140"/>
        <v>0</v>
      </c>
      <c r="Z126" s="40">
        <f t="shared" si="141"/>
        <v>0</v>
      </c>
      <c r="AA126" s="44">
        <f t="shared" si="142"/>
        <v>2168.4753088156936</v>
      </c>
      <c r="AB126" s="35">
        <f t="shared" si="143"/>
        <v>6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391.7732908127519</v>
      </c>
      <c r="AD126" s="57">
        <v>0</v>
      </c>
      <c r="AE126" s="57">
        <v>0</v>
      </c>
      <c r="AF126" s="61">
        <f t="shared" si="131"/>
        <v>6</v>
      </c>
      <c r="AG126" s="40">
        <f t="shared" si="144"/>
        <v>0</v>
      </c>
      <c r="AH126" s="40">
        <f t="shared" si="145"/>
        <v>0</v>
      </c>
      <c r="AI126" s="44">
        <f t="shared" si="146"/>
        <v>2350.6397448765115</v>
      </c>
      <c r="AJ126" s="35">
        <f t="shared" si="132"/>
        <v>6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423.89029687715208</v>
      </c>
      <c r="AL126" s="57">
        <v>0</v>
      </c>
      <c r="AM126" s="57">
        <v>0</v>
      </c>
      <c r="AN126" s="61">
        <f t="shared" si="133"/>
        <v>6</v>
      </c>
      <c r="AO126" s="40">
        <f t="shared" si="147"/>
        <v>0</v>
      </c>
      <c r="AP126" s="40">
        <f t="shared" si="148"/>
        <v>0</v>
      </c>
      <c r="AQ126" s="44">
        <f t="shared" si="149"/>
        <v>2543.3417812629123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70</v>
      </c>
      <c r="G127" s="35">
        <f>SUMIFS(WORKING!$AC$3:$AC$6802,WORKING!$A$3:$A$6802,Results!$D$3,WORKING!$B$3:$B$6802,Results!A127,WORKING!$C$3:$C$6802,Results!C127)/1000</f>
        <v>28654.41417</v>
      </c>
      <c r="H127" s="35">
        <f t="shared" si="134"/>
        <v>409.34877385714287</v>
      </c>
      <c r="I127" s="187">
        <v>40</v>
      </c>
      <c r="J127" s="212">
        <v>13031</v>
      </c>
      <c r="K127" s="217">
        <f t="shared" si="135"/>
        <v>325.77499999999998</v>
      </c>
      <c r="L127" s="34">
        <f t="shared" si="128"/>
        <v>40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354.92800177157386</v>
      </c>
      <c r="N127" s="57">
        <v>6</v>
      </c>
      <c r="O127" s="57">
        <v>0</v>
      </c>
      <c r="P127" s="61">
        <f t="shared" si="129"/>
        <v>46</v>
      </c>
      <c r="Q127" s="40">
        <f t="shared" si="136"/>
        <v>2129.5680106294431</v>
      </c>
      <c r="R127" s="40">
        <f t="shared" si="137"/>
        <v>0</v>
      </c>
      <c r="S127" s="44">
        <f t="shared" si="138"/>
        <v>16326.688081492397</v>
      </c>
      <c r="T127" s="35">
        <f t="shared" si="139"/>
        <v>46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385.19957590434092</v>
      </c>
      <c r="V127" s="57">
        <v>0</v>
      </c>
      <c r="W127" s="57">
        <v>0</v>
      </c>
      <c r="X127" s="61">
        <f t="shared" si="130"/>
        <v>46</v>
      </c>
      <c r="Y127" s="40">
        <f t="shared" si="140"/>
        <v>0</v>
      </c>
      <c r="Z127" s="40">
        <f t="shared" si="141"/>
        <v>0</v>
      </c>
      <c r="AA127" s="44">
        <f t="shared" si="142"/>
        <v>17719.180491599684</v>
      </c>
      <c r="AB127" s="35">
        <f t="shared" si="143"/>
        <v>46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417.66243815196714</v>
      </c>
      <c r="AD127" s="57">
        <v>0</v>
      </c>
      <c r="AE127" s="57">
        <v>0</v>
      </c>
      <c r="AF127" s="61">
        <f t="shared" si="131"/>
        <v>46</v>
      </c>
      <c r="AG127" s="40">
        <f t="shared" si="144"/>
        <v>0</v>
      </c>
      <c r="AH127" s="40">
        <f t="shared" si="145"/>
        <v>0</v>
      </c>
      <c r="AI127" s="44">
        <f t="shared" si="146"/>
        <v>19212.47215499049</v>
      </c>
      <c r="AJ127" s="35">
        <f t="shared" si="132"/>
        <v>46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452.01418521376718</v>
      </c>
      <c r="AL127" s="57">
        <v>0</v>
      </c>
      <c r="AM127" s="57">
        <v>0</v>
      </c>
      <c r="AN127" s="61">
        <f t="shared" si="133"/>
        <v>46</v>
      </c>
      <c r="AO127" s="40">
        <f t="shared" si="147"/>
        <v>0</v>
      </c>
      <c r="AP127" s="40">
        <f t="shared" si="148"/>
        <v>0</v>
      </c>
      <c r="AQ127" s="44">
        <f t="shared" si="149"/>
        <v>20792.652519833289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149.49381</v>
      </c>
      <c r="H128" s="35">
        <f t="shared" si="134"/>
        <v>0</v>
      </c>
      <c r="I128" s="187">
        <v>4</v>
      </c>
      <c r="J128" s="212">
        <v>2449</v>
      </c>
      <c r="K128" s="217">
        <f t="shared" si="135"/>
        <v>612.25</v>
      </c>
      <c r="L128" s="34">
        <f t="shared" si="128"/>
        <v>4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668.60006228453506</v>
      </c>
      <c r="N128" s="57">
        <v>0</v>
      </c>
      <c r="O128" s="57">
        <v>0</v>
      </c>
      <c r="P128" s="61">
        <f t="shared" si="129"/>
        <v>4</v>
      </c>
      <c r="Q128" s="40">
        <f t="shared" si="136"/>
        <v>0</v>
      </c>
      <c r="R128" s="40">
        <f t="shared" si="137"/>
        <v>0</v>
      </c>
      <c r="S128" s="44">
        <f t="shared" si="138"/>
        <v>2674.4002491381402</v>
      </c>
      <c r="T128" s="35">
        <f t="shared" si="139"/>
        <v>4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726.10242107666909</v>
      </c>
      <c r="V128" s="57">
        <v>0</v>
      </c>
      <c r="W128" s="57">
        <v>0</v>
      </c>
      <c r="X128" s="61">
        <f t="shared" si="130"/>
        <v>4</v>
      </c>
      <c r="Y128" s="40">
        <f t="shared" si="140"/>
        <v>0</v>
      </c>
      <c r="Z128" s="40">
        <f t="shared" si="141"/>
        <v>0</v>
      </c>
      <c r="AA128" s="44">
        <f t="shared" si="142"/>
        <v>2904.4096843066764</v>
      </c>
      <c r="AB128" s="35">
        <f t="shared" si="143"/>
        <v>4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787.81378431871724</v>
      </c>
      <c r="AD128" s="57">
        <v>0</v>
      </c>
      <c r="AE128" s="57">
        <v>0</v>
      </c>
      <c r="AF128" s="61">
        <f t="shared" si="131"/>
        <v>4</v>
      </c>
      <c r="AG128" s="40">
        <f t="shared" si="144"/>
        <v>0</v>
      </c>
      <c r="AH128" s="40">
        <f t="shared" si="145"/>
        <v>0</v>
      </c>
      <c r="AI128" s="44">
        <f t="shared" si="146"/>
        <v>3151.255137274869</v>
      </c>
      <c r="AJ128" s="35">
        <f t="shared" si="132"/>
        <v>4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853.17193987571534</v>
      </c>
      <c r="AL128" s="57">
        <v>0</v>
      </c>
      <c r="AM128" s="57">
        <v>0</v>
      </c>
      <c r="AN128" s="61">
        <f t="shared" si="133"/>
        <v>4</v>
      </c>
      <c r="AO128" s="40">
        <f t="shared" si="147"/>
        <v>0</v>
      </c>
      <c r="AP128" s="40">
        <f t="shared" si="148"/>
        <v>0</v>
      </c>
      <c r="AQ128" s="44">
        <f t="shared" si="149"/>
        <v>3412.6877595028614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95</v>
      </c>
      <c r="G129" s="35">
        <f>SUMIFS(WORKING!$AC$3:$AC$6802,WORKING!$A$3:$A$6802,Results!$D$3,WORKING!$B$3:$B$6802,Results!A129,WORKING!$C$3:$C$6802,Results!C129)/1000</f>
        <v>51277.264009999999</v>
      </c>
      <c r="H129" s="35">
        <f t="shared" si="134"/>
        <v>539.76067378947369</v>
      </c>
      <c r="I129" s="187">
        <v>24</v>
      </c>
      <c r="J129" s="212">
        <v>14077</v>
      </c>
      <c r="K129" s="217">
        <f t="shared" si="135"/>
        <v>586.54166666666663</v>
      </c>
      <c r="L129" s="34">
        <f t="shared" si="128"/>
        <v>24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639.42276540657713</v>
      </c>
      <c r="N129" s="57">
        <v>5</v>
      </c>
      <c r="O129" s="57">
        <v>0</v>
      </c>
      <c r="P129" s="61">
        <f t="shared" si="129"/>
        <v>29</v>
      </c>
      <c r="Q129" s="40">
        <f t="shared" si="136"/>
        <v>3197.1138270328856</v>
      </c>
      <c r="R129" s="40">
        <f t="shared" si="137"/>
        <v>0</v>
      </c>
      <c r="S129" s="44">
        <f t="shared" si="138"/>
        <v>18543.260196790736</v>
      </c>
      <c r="T129" s="35">
        <f t="shared" si="139"/>
        <v>29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694.08104869299189</v>
      </c>
      <c r="V129" s="57">
        <v>0</v>
      </c>
      <c r="W129" s="57">
        <v>0</v>
      </c>
      <c r="X129" s="61">
        <f t="shared" si="130"/>
        <v>29</v>
      </c>
      <c r="Y129" s="40">
        <f t="shared" si="140"/>
        <v>0</v>
      </c>
      <c r="Z129" s="40">
        <f t="shared" si="141"/>
        <v>0</v>
      </c>
      <c r="AA129" s="44">
        <f t="shared" si="142"/>
        <v>20128.350412096766</v>
      </c>
      <c r="AB129" s="35">
        <f t="shared" si="143"/>
        <v>29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752.70766430232902</v>
      </c>
      <c r="AD129" s="57">
        <v>0</v>
      </c>
      <c r="AE129" s="57">
        <v>0</v>
      </c>
      <c r="AF129" s="61">
        <f t="shared" si="131"/>
        <v>29</v>
      </c>
      <c r="AG129" s="40">
        <f t="shared" si="144"/>
        <v>0</v>
      </c>
      <c r="AH129" s="40">
        <f t="shared" si="145"/>
        <v>0</v>
      </c>
      <c r="AI129" s="44">
        <f t="shared" si="146"/>
        <v>21828.52226476754</v>
      </c>
      <c r="AJ129" s="35">
        <f t="shared" si="132"/>
        <v>29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814.7595673670354</v>
      </c>
      <c r="AL129" s="57">
        <v>0</v>
      </c>
      <c r="AM129" s="57">
        <v>0</v>
      </c>
      <c r="AN129" s="61">
        <f t="shared" si="133"/>
        <v>29</v>
      </c>
      <c r="AO129" s="40">
        <f t="shared" si="147"/>
        <v>0</v>
      </c>
      <c r="AP129" s="40">
        <f t="shared" si="148"/>
        <v>0</v>
      </c>
      <c r="AQ129" s="44">
        <f t="shared" si="149"/>
        <v>23628.027453644027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</v>
      </c>
      <c r="G130" s="35">
        <f>SUMIFS(WORKING!$AC$3:$AC$6802,WORKING!$A$3:$A$6802,Results!$D$3,WORKING!$B$3:$B$6802,Results!A130,WORKING!$C$3:$C$6802,Results!C130)/1000</f>
        <v>629.85804999999993</v>
      </c>
      <c r="H130" s="35">
        <f t="shared" si="134"/>
        <v>629.85804999999993</v>
      </c>
      <c r="I130" s="187">
        <v>52</v>
      </c>
      <c r="J130" s="212">
        <v>29902</v>
      </c>
      <c r="K130" s="217">
        <f t="shared" si="135"/>
        <v>575.03846153846155</v>
      </c>
      <c r="L130" s="34">
        <f t="shared" si="128"/>
        <v>52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627.6112449277166</v>
      </c>
      <c r="N130" s="57">
        <v>1</v>
      </c>
      <c r="O130" s="57">
        <v>0</v>
      </c>
      <c r="P130" s="61">
        <f t="shared" si="129"/>
        <v>53</v>
      </c>
      <c r="Q130" s="40">
        <f t="shared" si="136"/>
        <v>627.6112449277166</v>
      </c>
      <c r="R130" s="40">
        <f t="shared" si="137"/>
        <v>0</v>
      </c>
      <c r="S130" s="44">
        <f t="shared" si="138"/>
        <v>33263.395981168978</v>
      </c>
      <c r="T130" s="35">
        <f t="shared" si="139"/>
        <v>53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681.17083562284654</v>
      </c>
      <c r="V130" s="57">
        <v>0</v>
      </c>
      <c r="W130" s="57">
        <v>0</v>
      </c>
      <c r="X130" s="61">
        <f t="shared" si="130"/>
        <v>53</v>
      </c>
      <c r="Y130" s="40">
        <f t="shared" si="140"/>
        <v>0</v>
      </c>
      <c r="Z130" s="40">
        <f t="shared" si="141"/>
        <v>0</v>
      </c>
      <c r="AA130" s="44">
        <f t="shared" si="142"/>
        <v>36102.05428801087</v>
      </c>
      <c r="AB130" s="35">
        <f t="shared" si="143"/>
        <v>53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738.61020188975147</v>
      </c>
      <c r="AD130" s="57">
        <v>0</v>
      </c>
      <c r="AE130" s="57">
        <v>0</v>
      </c>
      <c r="AF130" s="61">
        <f t="shared" si="131"/>
        <v>53</v>
      </c>
      <c r="AG130" s="40">
        <f t="shared" si="144"/>
        <v>0</v>
      </c>
      <c r="AH130" s="40">
        <f t="shared" si="145"/>
        <v>0</v>
      </c>
      <c r="AI130" s="44">
        <f t="shared" si="146"/>
        <v>39146.340700156827</v>
      </c>
      <c r="AJ130" s="35">
        <f t="shared" si="132"/>
        <v>53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799.39471514343461</v>
      </c>
      <c r="AL130" s="57">
        <v>0</v>
      </c>
      <c r="AM130" s="57">
        <v>0</v>
      </c>
      <c r="AN130" s="61">
        <f t="shared" si="133"/>
        <v>53</v>
      </c>
      <c r="AO130" s="40">
        <f t="shared" si="147"/>
        <v>0</v>
      </c>
      <c r="AP130" s="40">
        <f t="shared" si="148"/>
        <v>0</v>
      </c>
      <c r="AQ130" s="44">
        <f t="shared" si="149"/>
        <v>42367.919902602036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49</v>
      </c>
      <c r="G131" s="35">
        <f>SUMIFS(WORKING!$AC$3:$AC$6802,WORKING!$A$3:$A$6802,Results!$D$3,WORKING!$B$3:$B$6802,Results!A131,WORKING!$C$3:$C$6802,Results!C131)/1000</f>
        <v>37083.29475999999</v>
      </c>
      <c r="H131" s="35">
        <f t="shared" si="134"/>
        <v>756.80193387755082</v>
      </c>
      <c r="I131" s="187">
        <v>13</v>
      </c>
      <c r="J131" s="212">
        <v>14446</v>
      </c>
      <c r="K131" s="217">
        <f t="shared" si="135"/>
        <v>1111.2307692307693</v>
      </c>
      <c r="L131" s="34">
        <f t="shared" si="128"/>
        <v>13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1213.041904956048</v>
      </c>
      <c r="N131" s="57">
        <v>3</v>
      </c>
      <c r="O131" s="57">
        <v>0</v>
      </c>
      <c r="P131" s="61">
        <f t="shared" si="129"/>
        <v>16</v>
      </c>
      <c r="Q131" s="40">
        <f t="shared" si="136"/>
        <v>3639.1257148681443</v>
      </c>
      <c r="R131" s="40">
        <f t="shared" si="137"/>
        <v>0</v>
      </c>
      <c r="S131" s="44">
        <f t="shared" si="138"/>
        <v>19408.670479296768</v>
      </c>
      <c r="T131" s="35">
        <f t="shared" si="139"/>
        <v>16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1316.797083873015</v>
      </c>
      <c r="V131" s="57">
        <v>0</v>
      </c>
      <c r="W131" s="57">
        <v>0</v>
      </c>
      <c r="X131" s="61">
        <f t="shared" si="130"/>
        <v>16</v>
      </c>
      <c r="Y131" s="40">
        <f t="shared" si="140"/>
        <v>0</v>
      </c>
      <c r="Z131" s="40">
        <f t="shared" si="141"/>
        <v>0</v>
      </c>
      <c r="AA131" s="44">
        <f t="shared" si="142"/>
        <v>21068.75334196824</v>
      </c>
      <c r="AB131" s="35">
        <f t="shared" si="143"/>
        <v>16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1428.090847264489</v>
      </c>
      <c r="AD131" s="57">
        <v>0</v>
      </c>
      <c r="AE131" s="57">
        <v>0</v>
      </c>
      <c r="AF131" s="61">
        <f t="shared" si="131"/>
        <v>16</v>
      </c>
      <c r="AG131" s="40">
        <f t="shared" si="144"/>
        <v>0</v>
      </c>
      <c r="AH131" s="40">
        <f t="shared" si="145"/>
        <v>0</v>
      </c>
      <c r="AI131" s="44">
        <f t="shared" si="146"/>
        <v>22849.453556231823</v>
      </c>
      <c r="AJ131" s="35">
        <f t="shared" si="132"/>
        <v>16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1545.893352221985</v>
      </c>
      <c r="AL131" s="57">
        <v>0</v>
      </c>
      <c r="AM131" s="57">
        <v>0</v>
      </c>
      <c r="AN131" s="61">
        <f t="shared" si="133"/>
        <v>16</v>
      </c>
      <c r="AO131" s="40">
        <f t="shared" si="147"/>
        <v>0</v>
      </c>
      <c r="AP131" s="40">
        <f t="shared" si="148"/>
        <v>0</v>
      </c>
      <c r="AQ131" s="44">
        <f t="shared" si="149"/>
        <v>24734.29363555176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12</v>
      </c>
      <c r="G132" s="35">
        <f>SUMIFS(WORKING!$AC$3:$AC$6802,WORKING!$A$3:$A$6802,Results!$D$3,WORKING!$B$3:$B$6802,Results!A132,WORKING!$C$3:$C$6802,Results!C132)/1000</f>
        <v>12331.349690000001</v>
      </c>
      <c r="H132" s="35">
        <f t="shared" si="134"/>
        <v>1027.6124741666667</v>
      </c>
      <c r="I132" s="187">
        <v>48</v>
      </c>
      <c r="J132" s="212">
        <v>41406</v>
      </c>
      <c r="K132" s="217">
        <f t="shared" si="135"/>
        <v>862.625</v>
      </c>
      <c r="L132" s="34">
        <f t="shared" si="128"/>
        <v>48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903.99179609171154</v>
      </c>
      <c r="N132" s="57">
        <v>0</v>
      </c>
      <c r="O132" s="57">
        <v>0</v>
      </c>
      <c r="P132" s="61">
        <f t="shared" si="129"/>
        <v>48</v>
      </c>
      <c r="Q132" s="40">
        <f t="shared" si="136"/>
        <v>0</v>
      </c>
      <c r="R132" s="40">
        <f t="shared" si="137"/>
        <v>0</v>
      </c>
      <c r="S132" s="44">
        <f t="shared" si="138"/>
        <v>43391.606212402156</v>
      </c>
      <c r="T132" s="35">
        <f t="shared" si="139"/>
        <v>48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972.10344384640109</v>
      </c>
      <c r="V132" s="57">
        <v>0</v>
      </c>
      <c r="W132" s="57">
        <v>0</v>
      </c>
      <c r="X132" s="61">
        <f t="shared" si="130"/>
        <v>48</v>
      </c>
      <c r="Y132" s="40">
        <f t="shared" si="140"/>
        <v>0</v>
      </c>
      <c r="Z132" s="40">
        <f t="shared" si="141"/>
        <v>0</v>
      </c>
      <c r="AA132" s="44">
        <f t="shared" si="142"/>
        <v>46660.965304627251</v>
      </c>
      <c r="AB132" s="35">
        <f t="shared" si="143"/>
        <v>48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1044.3608163670438</v>
      </c>
      <c r="AD132" s="57">
        <v>0</v>
      </c>
      <c r="AE132" s="57">
        <v>0</v>
      </c>
      <c r="AF132" s="61">
        <f t="shared" si="131"/>
        <v>48</v>
      </c>
      <c r="AG132" s="40">
        <f t="shared" si="144"/>
        <v>0</v>
      </c>
      <c r="AH132" s="40">
        <f t="shared" si="145"/>
        <v>0</v>
      </c>
      <c r="AI132" s="44">
        <f t="shared" si="146"/>
        <v>50129.3191856181</v>
      </c>
      <c r="AJ132" s="35">
        <f t="shared" si="132"/>
        <v>48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1119.8701883594863</v>
      </c>
      <c r="AL132" s="57">
        <v>0</v>
      </c>
      <c r="AM132" s="57">
        <v>0</v>
      </c>
      <c r="AN132" s="61">
        <f t="shared" si="133"/>
        <v>48</v>
      </c>
      <c r="AO132" s="40">
        <f t="shared" si="147"/>
        <v>0</v>
      </c>
      <c r="AP132" s="40">
        <f t="shared" si="148"/>
        <v>0</v>
      </c>
      <c r="AQ132" s="44">
        <f t="shared" si="149"/>
        <v>53753.769041255342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5</v>
      </c>
      <c r="G133" s="35">
        <f>SUMIFS(WORKING!$AC$3:$AC$6802,WORKING!$A$3:$A$6802,Results!$D$3,WORKING!$B$3:$B$6802,Results!A133,WORKING!$C$3:$C$6802,Results!C133)/1000</f>
        <v>4717.5910199999998</v>
      </c>
      <c r="H133" s="35">
        <f t="shared" si="134"/>
        <v>943.51820399999997</v>
      </c>
      <c r="I133" s="187">
        <v>11</v>
      </c>
      <c r="J133" s="212">
        <v>11231</v>
      </c>
      <c r="K133" s="217">
        <f t="shared" si="135"/>
        <v>1021</v>
      </c>
      <c r="L133" s="34">
        <f t="shared" si="128"/>
        <v>11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1070.2410614522414</v>
      </c>
      <c r="N133" s="57">
        <v>6</v>
      </c>
      <c r="O133" s="57">
        <v>0</v>
      </c>
      <c r="P133" s="61">
        <f t="shared" si="129"/>
        <v>17</v>
      </c>
      <c r="Q133" s="40">
        <f t="shared" si="136"/>
        <v>6421.4463687134485</v>
      </c>
      <c r="R133" s="40">
        <f t="shared" si="137"/>
        <v>0</v>
      </c>
      <c r="S133" s="44">
        <f t="shared" si="138"/>
        <v>18194.098044688104</v>
      </c>
      <c r="T133" s="35">
        <f t="shared" si="139"/>
        <v>17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1151.1794288911804</v>
      </c>
      <c r="V133" s="57">
        <v>0</v>
      </c>
      <c r="W133" s="57">
        <v>0</v>
      </c>
      <c r="X133" s="61">
        <f t="shared" si="130"/>
        <v>17</v>
      </c>
      <c r="Y133" s="40">
        <f t="shared" si="140"/>
        <v>0</v>
      </c>
      <c r="Z133" s="40">
        <f t="shared" si="141"/>
        <v>0</v>
      </c>
      <c r="AA133" s="44">
        <f t="shared" si="142"/>
        <v>19570.050291150066</v>
      </c>
      <c r="AB133" s="35">
        <f t="shared" si="143"/>
        <v>17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1237.070715401062</v>
      </c>
      <c r="AD133" s="57">
        <v>0</v>
      </c>
      <c r="AE133" s="57">
        <v>0</v>
      </c>
      <c r="AF133" s="61">
        <f t="shared" si="131"/>
        <v>17</v>
      </c>
      <c r="AG133" s="40">
        <f t="shared" si="144"/>
        <v>0</v>
      </c>
      <c r="AH133" s="40">
        <f t="shared" si="145"/>
        <v>0</v>
      </c>
      <c r="AI133" s="44">
        <f t="shared" si="146"/>
        <v>21030.202161818055</v>
      </c>
      <c r="AJ133" s="35">
        <f t="shared" si="132"/>
        <v>17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1326.8598696001852</v>
      </c>
      <c r="AL133" s="57">
        <v>0</v>
      </c>
      <c r="AM133" s="57">
        <v>0</v>
      </c>
      <c r="AN133" s="61">
        <f t="shared" si="133"/>
        <v>17</v>
      </c>
      <c r="AO133" s="40">
        <f t="shared" si="147"/>
        <v>0</v>
      </c>
      <c r="AP133" s="40">
        <f t="shared" si="148"/>
        <v>0</v>
      </c>
      <c r="AQ133" s="44">
        <f t="shared" si="149"/>
        <v>22556.61778320315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5</v>
      </c>
      <c r="J134" s="212">
        <v>6319</v>
      </c>
      <c r="K134" s="217">
        <f t="shared" si="135"/>
        <v>1263.8</v>
      </c>
      <c r="L134" s="34">
        <f t="shared" si="128"/>
        <v>5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1305.5053999999998</v>
      </c>
      <c r="N134" s="57">
        <v>1</v>
      </c>
      <c r="O134" s="57">
        <v>0</v>
      </c>
      <c r="P134" s="61">
        <f t="shared" si="129"/>
        <v>6</v>
      </c>
      <c r="Q134" s="40">
        <f t="shared" si="136"/>
        <v>1305.5053999999998</v>
      </c>
      <c r="R134" s="40">
        <f t="shared" si="137"/>
        <v>0</v>
      </c>
      <c r="S134" s="44">
        <f t="shared" si="138"/>
        <v>7833.0323999999982</v>
      </c>
      <c r="T134" s="35">
        <f t="shared" si="139"/>
        <v>6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1383.8357239999998</v>
      </c>
      <c r="V134" s="57">
        <v>0</v>
      </c>
      <c r="W134" s="57">
        <v>0</v>
      </c>
      <c r="X134" s="61">
        <f t="shared" si="130"/>
        <v>6</v>
      </c>
      <c r="Y134" s="40">
        <f t="shared" si="140"/>
        <v>0</v>
      </c>
      <c r="Z134" s="40">
        <f t="shared" si="141"/>
        <v>0</v>
      </c>
      <c r="AA134" s="44">
        <f t="shared" si="142"/>
        <v>8303.0143439999993</v>
      </c>
      <c r="AB134" s="35">
        <f t="shared" si="143"/>
        <v>6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1465.4820317159997</v>
      </c>
      <c r="AD134" s="57">
        <v>0</v>
      </c>
      <c r="AE134" s="57">
        <v>0</v>
      </c>
      <c r="AF134" s="61">
        <f t="shared" si="131"/>
        <v>6</v>
      </c>
      <c r="AG134" s="40">
        <f t="shared" si="144"/>
        <v>0</v>
      </c>
      <c r="AH134" s="40">
        <f t="shared" si="145"/>
        <v>0</v>
      </c>
      <c r="AI134" s="44">
        <f t="shared" si="146"/>
        <v>8792.8921902959992</v>
      </c>
      <c r="AJ134" s="35">
        <f t="shared" si="132"/>
        <v>6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1549.0145075238115</v>
      </c>
      <c r="AL134" s="57">
        <v>0</v>
      </c>
      <c r="AM134" s="57">
        <v>0</v>
      </c>
      <c r="AN134" s="61">
        <f t="shared" si="133"/>
        <v>6</v>
      </c>
      <c r="AO134" s="40">
        <f t="shared" si="147"/>
        <v>0</v>
      </c>
      <c r="AP134" s="40">
        <f t="shared" si="148"/>
        <v>0</v>
      </c>
      <c r="AQ134" s="44">
        <f t="shared" si="149"/>
        <v>9294.0870451428691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1</v>
      </c>
      <c r="J135" s="212">
        <v>1412</v>
      </c>
      <c r="K135" s="217">
        <f t="shared" si="135"/>
        <v>1412</v>
      </c>
      <c r="L135" s="34">
        <f t="shared" si="128"/>
        <v>1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1458.5959999999998</v>
      </c>
      <c r="N135" s="57">
        <v>0</v>
      </c>
      <c r="O135" s="57">
        <v>0</v>
      </c>
      <c r="P135" s="61">
        <f t="shared" si="129"/>
        <v>1</v>
      </c>
      <c r="Q135" s="40">
        <f t="shared" si="136"/>
        <v>0</v>
      </c>
      <c r="R135" s="40">
        <f t="shared" si="137"/>
        <v>0</v>
      </c>
      <c r="S135" s="44">
        <f t="shared" si="138"/>
        <v>1458.5959999999998</v>
      </c>
      <c r="T135" s="35">
        <f t="shared" si="139"/>
        <v>1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1546.1117599999998</v>
      </c>
      <c r="V135" s="57">
        <v>0</v>
      </c>
      <c r="W135" s="57">
        <v>0</v>
      </c>
      <c r="X135" s="61">
        <f t="shared" si="130"/>
        <v>1</v>
      </c>
      <c r="Y135" s="40">
        <f t="shared" si="140"/>
        <v>0</v>
      </c>
      <c r="Z135" s="40">
        <f t="shared" si="141"/>
        <v>0</v>
      </c>
      <c r="AA135" s="44">
        <f t="shared" si="142"/>
        <v>1546.1117599999998</v>
      </c>
      <c r="AB135" s="35">
        <f t="shared" si="143"/>
        <v>1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1637.3323538399998</v>
      </c>
      <c r="AD135" s="57">
        <v>0</v>
      </c>
      <c r="AE135" s="57">
        <v>0</v>
      </c>
      <c r="AF135" s="61">
        <f t="shared" si="131"/>
        <v>1</v>
      </c>
      <c r="AG135" s="40">
        <f t="shared" si="144"/>
        <v>0</v>
      </c>
      <c r="AH135" s="40">
        <f t="shared" si="145"/>
        <v>0</v>
      </c>
      <c r="AI135" s="44">
        <f t="shared" si="146"/>
        <v>1637.3323538399998</v>
      </c>
      <c r="AJ135" s="35">
        <f t="shared" si="132"/>
        <v>1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1730.6602980088796</v>
      </c>
      <c r="AL135" s="57">
        <v>0</v>
      </c>
      <c r="AM135" s="57">
        <v>0</v>
      </c>
      <c r="AN135" s="61">
        <f t="shared" si="133"/>
        <v>1</v>
      </c>
      <c r="AO135" s="40">
        <f t="shared" si="147"/>
        <v>0</v>
      </c>
      <c r="AP135" s="40">
        <f t="shared" si="148"/>
        <v>0</v>
      </c>
      <c r="AQ135" s="44">
        <f t="shared" si="149"/>
        <v>1730.6602980088796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756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>
        <v>126</v>
      </c>
      <c r="J136" s="212">
        <v>55276</v>
      </c>
      <c r="K136" s="217">
        <f t="shared" si="135"/>
        <v>438.69841269841271</v>
      </c>
      <c r="L136" s="34">
        <f t="shared" si="128"/>
        <v>126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453.17546031746031</v>
      </c>
      <c r="N136" s="57">
        <v>23</v>
      </c>
      <c r="O136" s="57">
        <v>0</v>
      </c>
      <c r="P136" s="61">
        <f t="shared" si="129"/>
        <v>149</v>
      </c>
      <c r="Q136" s="40">
        <f t="shared" si="136"/>
        <v>10423.035587301587</v>
      </c>
      <c r="R136" s="40">
        <f t="shared" si="137"/>
        <v>0</v>
      </c>
      <c r="S136" s="44">
        <f t="shared" si="138"/>
        <v>67523.143587301587</v>
      </c>
      <c r="T136" s="35">
        <f t="shared" si="139"/>
        <v>149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480.36598793650796</v>
      </c>
      <c r="V136" s="57">
        <v>0</v>
      </c>
      <c r="W136" s="57">
        <v>4</v>
      </c>
      <c r="X136" s="61">
        <f t="shared" si="130"/>
        <v>145</v>
      </c>
      <c r="Y136" s="40">
        <f t="shared" si="140"/>
        <v>0</v>
      </c>
      <c r="Z136" s="40">
        <f t="shared" si="141"/>
        <v>-1921.4639517460319</v>
      </c>
      <c r="AA136" s="44">
        <f t="shared" si="142"/>
        <v>69653.068250793658</v>
      </c>
      <c r="AB136" s="35">
        <f t="shared" si="143"/>
        <v>145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508.7075812247619</v>
      </c>
      <c r="AD136" s="57">
        <v>0</v>
      </c>
      <c r="AE136" s="57">
        <v>12</v>
      </c>
      <c r="AF136" s="61">
        <f t="shared" si="131"/>
        <v>133</v>
      </c>
      <c r="AG136" s="40">
        <f t="shared" si="144"/>
        <v>0</v>
      </c>
      <c r="AH136" s="40">
        <f t="shared" si="145"/>
        <v>-6104.4909746971425</v>
      </c>
      <c r="AI136" s="44">
        <f t="shared" si="146"/>
        <v>67658.108302893335</v>
      </c>
      <c r="AJ136" s="35">
        <f t="shared" si="132"/>
        <v>133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537.70391335457327</v>
      </c>
      <c r="AL136" s="57">
        <v>0</v>
      </c>
      <c r="AM136" s="57">
        <v>13</v>
      </c>
      <c r="AN136" s="61">
        <f t="shared" si="133"/>
        <v>120</v>
      </c>
      <c r="AO136" s="40">
        <f t="shared" si="147"/>
        <v>0</v>
      </c>
      <c r="AP136" s="40">
        <f t="shared" si="148"/>
        <v>-6990.1508736094529</v>
      </c>
      <c r="AQ136" s="44">
        <f t="shared" si="149"/>
        <v>64524.469602548794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757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>
        <v>75</v>
      </c>
      <c r="J137" s="212">
        <v>76125</v>
      </c>
      <c r="K137" s="217">
        <f t="shared" si="135"/>
        <v>1015</v>
      </c>
      <c r="L137" s="34">
        <f t="shared" si="128"/>
        <v>75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1048.4949999999999</v>
      </c>
      <c r="N137" s="57">
        <v>3</v>
      </c>
      <c r="O137" s="57">
        <v>0</v>
      </c>
      <c r="P137" s="61">
        <f t="shared" si="129"/>
        <v>78</v>
      </c>
      <c r="Q137" s="40">
        <f t="shared" si="136"/>
        <v>3145.4849999999997</v>
      </c>
      <c r="R137" s="40">
        <f t="shared" si="137"/>
        <v>0</v>
      </c>
      <c r="S137" s="44">
        <f t="shared" si="138"/>
        <v>81782.609999999986</v>
      </c>
      <c r="T137" s="35">
        <f t="shared" si="139"/>
        <v>78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1111.4047</v>
      </c>
      <c r="V137" s="57">
        <v>0</v>
      </c>
      <c r="W137" s="57">
        <v>0</v>
      </c>
      <c r="X137" s="61">
        <f t="shared" si="130"/>
        <v>78</v>
      </c>
      <c r="Y137" s="40">
        <f t="shared" si="140"/>
        <v>0</v>
      </c>
      <c r="Z137" s="40">
        <f t="shared" si="141"/>
        <v>0</v>
      </c>
      <c r="AA137" s="44">
        <f t="shared" si="142"/>
        <v>86689.566600000006</v>
      </c>
      <c r="AB137" s="35">
        <f t="shared" si="143"/>
        <v>78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1176.9775772999999</v>
      </c>
      <c r="AD137" s="57">
        <v>0</v>
      </c>
      <c r="AE137" s="57">
        <v>0</v>
      </c>
      <c r="AF137" s="61">
        <f t="shared" si="131"/>
        <v>78</v>
      </c>
      <c r="AG137" s="40">
        <f t="shared" si="144"/>
        <v>0</v>
      </c>
      <c r="AH137" s="40">
        <f t="shared" si="145"/>
        <v>0</v>
      </c>
      <c r="AI137" s="44">
        <f t="shared" si="146"/>
        <v>91804.251029399995</v>
      </c>
      <c r="AJ137" s="35">
        <f t="shared" si="132"/>
        <v>78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1244.0652992060998</v>
      </c>
      <c r="AL137" s="57">
        <v>0</v>
      </c>
      <c r="AM137" s="57">
        <v>0</v>
      </c>
      <c r="AN137" s="61">
        <f t="shared" si="133"/>
        <v>78</v>
      </c>
      <c r="AO137" s="40">
        <f t="shared" si="147"/>
        <v>0</v>
      </c>
      <c r="AP137" s="40">
        <f t="shared" si="148"/>
        <v>0</v>
      </c>
      <c r="AQ137" s="44">
        <f t="shared" si="149"/>
        <v>97037.093338075778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335</v>
      </c>
      <c r="G140" s="41">
        <f>SUM(G120:G139)</f>
        <v>163909.77389999997</v>
      </c>
      <c r="H140" s="41">
        <f>IFERROR(G140/F140,0)</f>
        <v>489.28290716417899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408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268191</v>
      </c>
      <c r="K140" s="41">
        <f>IFERROR(J140/I140,"")</f>
        <v>657.33088235294122</v>
      </c>
      <c r="L140" s="41">
        <f>SUM(L120:L139)</f>
        <v>408</v>
      </c>
      <c r="M140" s="41">
        <f>IFERROR(S140/P140,0)</f>
        <v>684.75415004556373</v>
      </c>
      <c r="N140" s="41">
        <f t="shared" ref="N140:T140" si="151">SUM(N120:N139)</f>
        <v>50</v>
      </c>
      <c r="O140" s="41">
        <f t="shared" si="151"/>
        <v>0</v>
      </c>
      <c r="P140" s="41">
        <f t="shared" si="151"/>
        <v>458</v>
      </c>
      <c r="Q140" s="41">
        <f t="shared" si="151"/>
        <v>31367.543914519512</v>
      </c>
      <c r="R140" s="41">
        <f t="shared" si="151"/>
        <v>0</v>
      </c>
      <c r="S140" s="45">
        <f t="shared" si="151"/>
        <v>313617.4007208682</v>
      </c>
      <c r="T140" s="41">
        <f t="shared" si="151"/>
        <v>458</v>
      </c>
      <c r="U140" s="41">
        <f>IFERROR(AA140/X140,0)</f>
        <v>735.32318315852331</v>
      </c>
      <c r="V140" s="41">
        <f t="shared" ref="V140:AB140" si="152">SUM(V120:V139)</f>
        <v>0</v>
      </c>
      <c r="W140" s="41">
        <f t="shared" si="152"/>
        <v>4</v>
      </c>
      <c r="X140" s="41">
        <f t="shared" si="152"/>
        <v>454</v>
      </c>
      <c r="Y140" s="41">
        <f t="shared" si="152"/>
        <v>0</v>
      </c>
      <c r="Z140" s="41">
        <f t="shared" si="152"/>
        <v>-1921.4639517460319</v>
      </c>
      <c r="AA140" s="45">
        <f t="shared" si="152"/>
        <v>333836.7251539696</v>
      </c>
      <c r="AB140" s="41">
        <f t="shared" si="152"/>
        <v>454</v>
      </c>
      <c r="AC140" s="41">
        <f>IFERROR(AI140/AF140,0)</f>
        <v>794.17267834154245</v>
      </c>
      <c r="AD140" s="41">
        <f t="shared" ref="AD140:AJ140" si="153">SUM(AD120:AD139)</f>
        <v>0</v>
      </c>
      <c r="AE140" s="41">
        <f t="shared" si="153"/>
        <v>12</v>
      </c>
      <c r="AF140" s="41">
        <f t="shared" si="153"/>
        <v>442</v>
      </c>
      <c r="AG140" s="41">
        <f t="shared" si="153"/>
        <v>0</v>
      </c>
      <c r="AH140" s="41">
        <f t="shared" si="153"/>
        <v>-6104.4909746971425</v>
      </c>
      <c r="AI140" s="45">
        <f t="shared" si="153"/>
        <v>351024.32382696174</v>
      </c>
      <c r="AJ140" s="41">
        <f t="shared" si="153"/>
        <v>442</v>
      </c>
      <c r="AK140" s="41">
        <f>IFERROR(AQ140/AN140,0)</f>
        <v>857.63716271454643</v>
      </c>
      <c r="AL140" s="41">
        <f t="shared" ref="AL140:AQ140" si="154">SUM(AL120:AL139)</f>
        <v>0</v>
      </c>
      <c r="AM140" s="41">
        <f t="shared" si="154"/>
        <v>13</v>
      </c>
      <c r="AN140" s="41">
        <f t="shared" si="154"/>
        <v>429</v>
      </c>
      <c r="AO140" s="41">
        <f t="shared" si="154"/>
        <v>0</v>
      </c>
      <c r="AP140" s="41">
        <f t="shared" si="154"/>
        <v>-6990.1508736094529</v>
      </c>
      <c r="AQ140" s="45">
        <f t="shared" si="154"/>
        <v>367926.34280454041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384632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355309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346658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373004.00800000003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71014.599279131799</v>
      </c>
      <c r="T142" s="39"/>
      <c r="U142" s="39"/>
      <c r="V142" s="53"/>
      <c r="W142" s="53"/>
      <c r="X142" s="110"/>
      <c r="Y142" s="39"/>
      <c r="Z142" s="39"/>
      <c r="AA142" s="54">
        <f>AA141-AA140</f>
        <v>21472.274846030399</v>
      </c>
      <c r="AB142" s="39"/>
      <c r="AC142" s="53"/>
      <c r="AD142" s="53"/>
      <c r="AE142" s="110"/>
      <c r="AF142" s="39"/>
      <c r="AG142" s="39"/>
      <c r="AH142" s="39"/>
      <c r="AI142" s="54">
        <f>AI141-AI140</f>
        <v>-4366.3238269617432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5077.6651954596164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Public Diplomacy and Protocol Services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0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>
        <v>0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>
        <v>48</v>
      </c>
      <c r="J152" s="212">
        <v>10332</v>
      </c>
      <c r="K152" s="217">
        <f t="shared" si="162"/>
        <v>215.25</v>
      </c>
      <c r="L152" s="34">
        <f t="shared" si="155"/>
        <v>48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231.14140909310308</v>
      </c>
      <c r="N152" s="57">
        <v>6</v>
      </c>
      <c r="O152" s="57">
        <v>0</v>
      </c>
      <c r="P152" s="61">
        <f t="shared" si="156"/>
        <v>54</v>
      </c>
      <c r="Q152" s="40">
        <f t="shared" si="163"/>
        <v>1386.8484545586184</v>
      </c>
      <c r="R152" s="40">
        <f t="shared" si="164"/>
        <v>0</v>
      </c>
      <c r="S152" s="44">
        <f t="shared" si="165"/>
        <v>12481.636091027567</v>
      </c>
      <c r="T152" s="35">
        <f t="shared" si="166"/>
        <v>54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247.32896294795714</v>
      </c>
      <c r="V152" s="57">
        <v>0</v>
      </c>
      <c r="W152" s="57">
        <v>0</v>
      </c>
      <c r="X152" s="61">
        <f t="shared" si="157"/>
        <v>54</v>
      </c>
      <c r="Y152" s="40">
        <f t="shared" si="167"/>
        <v>0</v>
      </c>
      <c r="Z152" s="40">
        <f t="shared" si="168"/>
        <v>0</v>
      </c>
      <c r="AA152" s="44">
        <f t="shared" si="169"/>
        <v>13355.763999189685</v>
      </c>
      <c r="AB152" s="35">
        <f t="shared" si="170"/>
        <v>54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264.40285272852134</v>
      </c>
      <c r="AD152" s="57">
        <v>0</v>
      </c>
      <c r="AE152" s="57">
        <v>0</v>
      </c>
      <c r="AF152" s="61">
        <f t="shared" si="158"/>
        <v>54</v>
      </c>
      <c r="AG152" s="40">
        <f t="shared" si="171"/>
        <v>0</v>
      </c>
      <c r="AH152" s="40">
        <f t="shared" si="172"/>
        <v>0</v>
      </c>
      <c r="AI152" s="44">
        <f t="shared" si="173"/>
        <v>14277.754047340153</v>
      </c>
      <c r="AJ152" s="35">
        <f t="shared" si="159"/>
        <v>54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282.12660067204166</v>
      </c>
      <c r="AL152" s="57">
        <v>0</v>
      </c>
      <c r="AM152" s="57">
        <v>0</v>
      </c>
      <c r="AN152" s="61">
        <f t="shared" si="160"/>
        <v>54</v>
      </c>
      <c r="AO152" s="40">
        <f t="shared" si="174"/>
        <v>0</v>
      </c>
      <c r="AP152" s="40">
        <f t="shared" si="175"/>
        <v>0</v>
      </c>
      <c r="AQ152" s="44">
        <f t="shared" si="176"/>
        <v>15234.83643629025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>
        <v>10</v>
      </c>
      <c r="J153" s="212">
        <v>2712</v>
      </c>
      <c r="K153" s="217">
        <f t="shared" si="162"/>
        <v>271.2</v>
      </c>
      <c r="L153" s="34">
        <f t="shared" si="155"/>
        <v>10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291.22206804204205</v>
      </c>
      <c r="N153" s="57">
        <v>13</v>
      </c>
      <c r="O153" s="57">
        <v>0</v>
      </c>
      <c r="P153" s="61">
        <f t="shared" si="156"/>
        <v>23</v>
      </c>
      <c r="Q153" s="40">
        <f t="shared" si="163"/>
        <v>3785.8868845465468</v>
      </c>
      <c r="R153" s="40">
        <f t="shared" si="164"/>
        <v>0</v>
      </c>
      <c r="S153" s="44">
        <f t="shared" si="165"/>
        <v>6698.1075649669674</v>
      </c>
      <c r="T153" s="35">
        <f t="shared" si="166"/>
        <v>23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311.61725784662474</v>
      </c>
      <c r="V153" s="57">
        <v>0</v>
      </c>
      <c r="W153" s="57">
        <v>0</v>
      </c>
      <c r="X153" s="61">
        <f t="shared" si="157"/>
        <v>23</v>
      </c>
      <c r="Y153" s="40">
        <f t="shared" si="167"/>
        <v>0</v>
      </c>
      <c r="Z153" s="40">
        <f t="shared" si="168"/>
        <v>0</v>
      </c>
      <c r="AA153" s="44">
        <f t="shared" si="169"/>
        <v>7167.1969304723689</v>
      </c>
      <c r="AB153" s="35">
        <f t="shared" si="170"/>
        <v>23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333.12916915203249</v>
      </c>
      <c r="AD153" s="57">
        <v>0</v>
      </c>
      <c r="AE153" s="57">
        <v>0</v>
      </c>
      <c r="AF153" s="61">
        <f t="shared" si="158"/>
        <v>23</v>
      </c>
      <c r="AG153" s="40">
        <f t="shared" si="171"/>
        <v>0</v>
      </c>
      <c r="AH153" s="40">
        <f t="shared" si="172"/>
        <v>0</v>
      </c>
      <c r="AI153" s="44">
        <f t="shared" si="173"/>
        <v>7661.9708904967474</v>
      </c>
      <c r="AJ153" s="35">
        <f t="shared" si="159"/>
        <v>23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355.45985645648182</v>
      </c>
      <c r="AL153" s="57">
        <v>0</v>
      </c>
      <c r="AM153" s="57">
        <v>0</v>
      </c>
      <c r="AN153" s="61">
        <f t="shared" si="160"/>
        <v>23</v>
      </c>
      <c r="AO153" s="40">
        <f t="shared" si="174"/>
        <v>0</v>
      </c>
      <c r="AP153" s="40">
        <f t="shared" si="175"/>
        <v>0</v>
      </c>
      <c r="AQ153" s="44">
        <f t="shared" si="176"/>
        <v>8175.5766984990814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>
        <v>43</v>
      </c>
      <c r="J154" s="212">
        <v>14056</v>
      </c>
      <c r="K154" s="217">
        <f t="shared" si="162"/>
        <v>326.88372093023258</v>
      </c>
      <c r="L154" s="34">
        <f t="shared" si="155"/>
        <v>43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351.01678915405637</v>
      </c>
      <c r="N154" s="57">
        <v>12</v>
      </c>
      <c r="O154" s="57">
        <v>0</v>
      </c>
      <c r="P154" s="61">
        <f t="shared" si="156"/>
        <v>55</v>
      </c>
      <c r="Q154" s="40">
        <f t="shared" si="163"/>
        <v>4212.2014698486764</v>
      </c>
      <c r="R154" s="40">
        <f t="shared" si="164"/>
        <v>0</v>
      </c>
      <c r="S154" s="44">
        <f t="shared" si="165"/>
        <v>19305.923403473102</v>
      </c>
      <c r="T154" s="35">
        <f t="shared" si="166"/>
        <v>55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375.59958978975084</v>
      </c>
      <c r="V154" s="57">
        <v>0</v>
      </c>
      <c r="W154" s="57">
        <v>0</v>
      </c>
      <c r="X154" s="61">
        <f t="shared" si="157"/>
        <v>55</v>
      </c>
      <c r="Y154" s="40">
        <f t="shared" si="167"/>
        <v>0</v>
      </c>
      <c r="Z154" s="40">
        <f t="shared" si="168"/>
        <v>0</v>
      </c>
      <c r="AA154" s="44">
        <f t="shared" si="169"/>
        <v>20657.977438436297</v>
      </c>
      <c r="AB154" s="35">
        <f t="shared" si="170"/>
        <v>55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401.52840104282171</v>
      </c>
      <c r="AD154" s="57">
        <v>0</v>
      </c>
      <c r="AE154" s="57">
        <v>0</v>
      </c>
      <c r="AF154" s="61">
        <f t="shared" si="158"/>
        <v>55</v>
      </c>
      <c r="AG154" s="40">
        <f t="shared" si="171"/>
        <v>0</v>
      </c>
      <c r="AH154" s="40">
        <f t="shared" si="172"/>
        <v>0</v>
      </c>
      <c r="AI154" s="44">
        <f t="shared" si="173"/>
        <v>22084.062057355193</v>
      </c>
      <c r="AJ154" s="35">
        <f t="shared" si="159"/>
        <v>55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428.4441022117299</v>
      </c>
      <c r="AL154" s="57">
        <v>0</v>
      </c>
      <c r="AM154" s="57">
        <v>0</v>
      </c>
      <c r="AN154" s="61">
        <f t="shared" si="160"/>
        <v>55</v>
      </c>
      <c r="AO154" s="40">
        <f t="shared" si="174"/>
        <v>0</v>
      </c>
      <c r="AP154" s="40">
        <f t="shared" si="175"/>
        <v>0</v>
      </c>
      <c r="AQ154" s="44">
        <f t="shared" si="176"/>
        <v>23564.425621645143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>
        <v>83</v>
      </c>
      <c r="J155" s="212">
        <v>31740</v>
      </c>
      <c r="K155" s="217">
        <f t="shared" si="162"/>
        <v>382.40963855421688</v>
      </c>
      <c r="L155" s="34">
        <f t="shared" si="155"/>
        <v>83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410.64205670711232</v>
      </c>
      <c r="N155" s="57">
        <v>0</v>
      </c>
      <c r="O155" s="57">
        <v>0</v>
      </c>
      <c r="P155" s="61">
        <f t="shared" si="156"/>
        <v>83</v>
      </c>
      <c r="Q155" s="40">
        <f t="shared" si="163"/>
        <v>0</v>
      </c>
      <c r="R155" s="40">
        <f t="shared" si="164"/>
        <v>0</v>
      </c>
      <c r="S155" s="44">
        <f t="shared" si="165"/>
        <v>34083.290706690321</v>
      </c>
      <c r="T155" s="35">
        <f t="shared" si="166"/>
        <v>83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439.40060081262527</v>
      </c>
      <c r="V155" s="57">
        <v>0</v>
      </c>
      <c r="W155" s="57">
        <v>0</v>
      </c>
      <c r="X155" s="61">
        <f t="shared" si="157"/>
        <v>83</v>
      </c>
      <c r="Y155" s="40">
        <f t="shared" si="167"/>
        <v>0</v>
      </c>
      <c r="Z155" s="40">
        <f t="shared" si="168"/>
        <v>0</v>
      </c>
      <c r="AA155" s="44">
        <f t="shared" si="169"/>
        <v>36470.249867447899</v>
      </c>
      <c r="AB155" s="35">
        <f t="shared" si="170"/>
        <v>83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469.73379486465825</v>
      </c>
      <c r="AD155" s="57">
        <v>0</v>
      </c>
      <c r="AE155" s="57">
        <v>0</v>
      </c>
      <c r="AF155" s="61">
        <f t="shared" si="158"/>
        <v>83</v>
      </c>
      <c r="AG155" s="40">
        <f t="shared" si="171"/>
        <v>0</v>
      </c>
      <c r="AH155" s="40">
        <f t="shared" si="172"/>
        <v>0</v>
      </c>
      <c r="AI155" s="44">
        <f t="shared" si="173"/>
        <v>38987.904973766636</v>
      </c>
      <c r="AJ155" s="35">
        <f t="shared" si="159"/>
        <v>83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501.22151632764388</v>
      </c>
      <c r="AL155" s="57">
        <v>0</v>
      </c>
      <c r="AM155" s="57">
        <v>0</v>
      </c>
      <c r="AN155" s="61">
        <f t="shared" si="160"/>
        <v>83</v>
      </c>
      <c r="AO155" s="40">
        <f t="shared" si="174"/>
        <v>0</v>
      </c>
      <c r="AP155" s="40">
        <f t="shared" si="175"/>
        <v>0</v>
      </c>
      <c r="AQ155" s="44">
        <f t="shared" si="176"/>
        <v>41601.385855194443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>
        <v>0</v>
      </c>
      <c r="J156" s="212">
        <v>0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16</v>
      </c>
      <c r="O156" s="57">
        <v>0</v>
      </c>
      <c r="P156" s="61">
        <f t="shared" si="156"/>
        <v>16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16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16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16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16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16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16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>
        <v>81</v>
      </c>
      <c r="J157" s="212">
        <v>47794</v>
      </c>
      <c r="K157" s="217">
        <f t="shared" si="162"/>
        <v>590.04938271604942</v>
      </c>
      <c r="L157" s="34">
        <f t="shared" si="155"/>
        <v>81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633.61136239490509</v>
      </c>
      <c r="N157" s="57">
        <v>6</v>
      </c>
      <c r="O157" s="57">
        <v>0</v>
      </c>
      <c r="P157" s="61">
        <f t="shared" si="156"/>
        <v>87</v>
      </c>
      <c r="Q157" s="40">
        <f t="shared" si="163"/>
        <v>3801.6681743694307</v>
      </c>
      <c r="R157" s="40">
        <f t="shared" si="164"/>
        <v>0</v>
      </c>
      <c r="S157" s="44">
        <f t="shared" si="165"/>
        <v>55124.188528356739</v>
      </c>
      <c r="T157" s="35">
        <f t="shared" si="166"/>
        <v>87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677.98514246338107</v>
      </c>
      <c r="V157" s="57">
        <v>0</v>
      </c>
      <c r="W157" s="57">
        <v>0</v>
      </c>
      <c r="X157" s="61">
        <f t="shared" si="157"/>
        <v>87</v>
      </c>
      <c r="Y157" s="40">
        <f t="shared" si="167"/>
        <v>0</v>
      </c>
      <c r="Z157" s="40">
        <f t="shared" si="168"/>
        <v>0</v>
      </c>
      <c r="AA157" s="44">
        <f t="shared" si="169"/>
        <v>58984.707394314151</v>
      </c>
      <c r="AB157" s="35">
        <f t="shared" si="170"/>
        <v>87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724.7885716182418</v>
      </c>
      <c r="AD157" s="57">
        <v>0</v>
      </c>
      <c r="AE157" s="57">
        <v>0</v>
      </c>
      <c r="AF157" s="61">
        <f t="shared" si="158"/>
        <v>87</v>
      </c>
      <c r="AG157" s="40">
        <f t="shared" si="171"/>
        <v>0</v>
      </c>
      <c r="AH157" s="40">
        <f t="shared" si="172"/>
        <v>0</v>
      </c>
      <c r="AI157" s="44">
        <f t="shared" si="173"/>
        <v>63056.605730787036</v>
      </c>
      <c r="AJ157" s="35">
        <f t="shared" si="159"/>
        <v>87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773.37341033363793</v>
      </c>
      <c r="AL157" s="57">
        <v>0</v>
      </c>
      <c r="AM157" s="57">
        <v>0</v>
      </c>
      <c r="AN157" s="61">
        <f t="shared" si="160"/>
        <v>87</v>
      </c>
      <c r="AO157" s="40">
        <f t="shared" si="174"/>
        <v>0</v>
      </c>
      <c r="AP157" s="40">
        <f t="shared" si="175"/>
        <v>0</v>
      </c>
      <c r="AQ157" s="44">
        <f t="shared" si="176"/>
        <v>67283.4866990265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>
        <v>0</v>
      </c>
      <c r="J158" s="212">
        <v>0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14</v>
      </c>
      <c r="O158" s="57">
        <v>0</v>
      </c>
      <c r="P158" s="61">
        <f t="shared" si="156"/>
        <v>14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14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14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14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14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14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14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>
        <v>38</v>
      </c>
      <c r="J159" s="212">
        <v>29713</v>
      </c>
      <c r="K159" s="217">
        <f t="shared" si="162"/>
        <v>781.92105263157896</v>
      </c>
      <c r="L159" s="34">
        <f t="shared" si="155"/>
        <v>38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841.347052631579</v>
      </c>
      <c r="N159" s="57">
        <v>0</v>
      </c>
      <c r="O159" s="57">
        <v>0</v>
      </c>
      <c r="P159" s="61">
        <f t="shared" si="156"/>
        <v>38</v>
      </c>
      <c r="Q159" s="40">
        <f t="shared" si="163"/>
        <v>0</v>
      </c>
      <c r="R159" s="40">
        <f t="shared" si="164"/>
        <v>0</v>
      </c>
      <c r="S159" s="44">
        <f t="shared" si="165"/>
        <v>31971.188000000002</v>
      </c>
      <c r="T159" s="35">
        <f t="shared" si="166"/>
        <v>38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900.24134631578954</v>
      </c>
      <c r="V159" s="57">
        <v>0</v>
      </c>
      <c r="W159" s="57">
        <v>0</v>
      </c>
      <c r="X159" s="61">
        <f t="shared" si="157"/>
        <v>38</v>
      </c>
      <c r="Y159" s="40">
        <f t="shared" si="167"/>
        <v>0</v>
      </c>
      <c r="Z159" s="40">
        <f t="shared" si="168"/>
        <v>0</v>
      </c>
      <c r="AA159" s="44">
        <f t="shared" si="169"/>
        <v>34209.171160000005</v>
      </c>
      <c r="AB159" s="35">
        <f t="shared" si="170"/>
        <v>38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962.357999211579</v>
      </c>
      <c r="AD159" s="57">
        <v>0</v>
      </c>
      <c r="AE159" s="57">
        <v>0</v>
      </c>
      <c r="AF159" s="61">
        <f t="shared" si="158"/>
        <v>38</v>
      </c>
      <c r="AG159" s="40">
        <f t="shared" si="171"/>
        <v>0</v>
      </c>
      <c r="AH159" s="40">
        <f t="shared" si="172"/>
        <v>0</v>
      </c>
      <c r="AI159" s="44">
        <f t="shared" si="173"/>
        <v>36569.60397004</v>
      </c>
      <c r="AJ159" s="35">
        <f t="shared" si="159"/>
        <v>38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1026.8359851587547</v>
      </c>
      <c r="AL159" s="57">
        <v>0</v>
      </c>
      <c r="AM159" s="57">
        <v>0</v>
      </c>
      <c r="AN159" s="61">
        <f t="shared" si="160"/>
        <v>38</v>
      </c>
      <c r="AO159" s="40">
        <f t="shared" si="174"/>
        <v>0</v>
      </c>
      <c r="AP159" s="40">
        <f t="shared" si="175"/>
        <v>0</v>
      </c>
      <c r="AQ159" s="44">
        <f t="shared" si="176"/>
        <v>39019.767436032678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>
        <v>11</v>
      </c>
      <c r="J160" s="212">
        <v>9978</v>
      </c>
      <c r="K160" s="217">
        <f t="shared" si="162"/>
        <v>907.09090909090912</v>
      </c>
      <c r="L160" s="34">
        <f t="shared" si="155"/>
        <v>11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937.02490909090909</v>
      </c>
      <c r="N160" s="57">
        <v>7</v>
      </c>
      <c r="O160" s="57">
        <v>0</v>
      </c>
      <c r="P160" s="61">
        <f t="shared" si="156"/>
        <v>18</v>
      </c>
      <c r="Q160" s="40">
        <f t="shared" si="163"/>
        <v>6559.1743636363635</v>
      </c>
      <c r="R160" s="40">
        <f t="shared" si="164"/>
        <v>0</v>
      </c>
      <c r="S160" s="44">
        <f t="shared" si="165"/>
        <v>16866.448363636362</v>
      </c>
      <c r="T160" s="35">
        <f t="shared" si="166"/>
        <v>18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993.24640363636365</v>
      </c>
      <c r="V160" s="57">
        <v>0</v>
      </c>
      <c r="W160" s="57">
        <v>0</v>
      </c>
      <c r="X160" s="61">
        <f t="shared" si="157"/>
        <v>18</v>
      </c>
      <c r="Y160" s="40">
        <f t="shared" si="167"/>
        <v>0</v>
      </c>
      <c r="Z160" s="40">
        <f t="shared" si="168"/>
        <v>0</v>
      </c>
      <c r="AA160" s="44">
        <f t="shared" si="169"/>
        <v>17878.435265454547</v>
      </c>
      <c r="AB160" s="35">
        <f t="shared" si="170"/>
        <v>18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1051.847941450909</v>
      </c>
      <c r="AD160" s="57">
        <v>0</v>
      </c>
      <c r="AE160" s="57">
        <v>0</v>
      </c>
      <c r="AF160" s="61">
        <f t="shared" si="158"/>
        <v>18</v>
      </c>
      <c r="AG160" s="40">
        <f t="shared" si="171"/>
        <v>0</v>
      </c>
      <c r="AH160" s="40">
        <f t="shared" si="172"/>
        <v>0</v>
      </c>
      <c r="AI160" s="44">
        <f t="shared" si="173"/>
        <v>18933.262946116363</v>
      </c>
      <c r="AJ160" s="35">
        <f t="shared" si="159"/>
        <v>18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1111.8032741136108</v>
      </c>
      <c r="AL160" s="57">
        <v>0</v>
      </c>
      <c r="AM160" s="57">
        <v>0</v>
      </c>
      <c r="AN160" s="61">
        <f t="shared" si="160"/>
        <v>18</v>
      </c>
      <c r="AO160" s="40">
        <f t="shared" si="174"/>
        <v>0</v>
      </c>
      <c r="AP160" s="40">
        <f t="shared" si="175"/>
        <v>0</v>
      </c>
      <c r="AQ160" s="44">
        <f t="shared" si="176"/>
        <v>20012.458934044993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>
        <v>3</v>
      </c>
      <c r="J161" s="212">
        <v>3446</v>
      </c>
      <c r="K161" s="217">
        <f t="shared" si="162"/>
        <v>1148.6666666666667</v>
      </c>
      <c r="L161" s="34">
        <f t="shared" si="155"/>
        <v>3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1186.5726666666667</v>
      </c>
      <c r="N161" s="57">
        <v>1</v>
      </c>
      <c r="O161" s="57">
        <v>0</v>
      </c>
      <c r="P161" s="61">
        <f t="shared" si="156"/>
        <v>4</v>
      </c>
      <c r="Q161" s="40">
        <f t="shared" si="163"/>
        <v>1186.5726666666667</v>
      </c>
      <c r="R161" s="40">
        <f t="shared" si="164"/>
        <v>0</v>
      </c>
      <c r="S161" s="44">
        <f t="shared" si="165"/>
        <v>4746.2906666666668</v>
      </c>
      <c r="T161" s="35">
        <f t="shared" si="166"/>
        <v>4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1257.7670266666667</v>
      </c>
      <c r="V161" s="57">
        <v>0</v>
      </c>
      <c r="W161" s="57">
        <v>0</v>
      </c>
      <c r="X161" s="61">
        <f t="shared" si="157"/>
        <v>4</v>
      </c>
      <c r="Y161" s="40">
        <f t="shared" si="167"/>
        <v>0</v>
      </c>
      <c r="Z161" s="40">
        <f t="shared" si="168"/>
        <v>0</v>
      </c>
      <c r="AA161" s="44">
        <f t="shared" si="169"/>
        <v>5031.0681066666666</v>
      </c>
      <c r="AB161" s="35">
        <f t="shared" si="170"/>
        <v>4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1331.97528124</v>
      </c>
      <c r="AD161" s="57">
        <v>0</v>
      </c>
      <c r="AE161" s="57">
        <v>0</v>
      </c>
      <c r="AF161" s="61">
        <f t="shared" si="158"/>
        <v>4</v>
      </c>
      <c r="AG161" s="40">
        <f t="shared" si="171"/>
        <v>0</v>
      </c>
      <c r="AH161" s="40">
        <f t="shared" si="172"/>
        <v>0</v>
      </c>
      <c r="AI161" s="44">
        <f t="shared" si="173"/>
        <v>5327.9011249599998</v>
      </c>
      <c r="AJ161" s="35">
        <f t="shared" si="159"/>
        <v>4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1407.89787227068</v>
      </c>
      <c r="AL161" s="57">
        <v>0</v>
      </c>
      <c r="AM161" s="57">
        <v>0</v>
      </c>
      <c r="AN161" s="61">
        <f t="shared" si="160"/>
        <v>4</v>
      </c>
      <c r="AO161" s="40">
        <f t="shared" si="174"/>
        <v>0</v>
      </c>
      <c r="AP161" s="40">
        <f t="shared" si="175"/>
        <v>0</v>
      </c>
      <c r="AQ161" s="44">
        <f t="shared" si="176"/>
        <v>5631.5914890827198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>
        <v>2</v>
      </c>
      <c r="J162" s="212">
        <v>2825</v>
      </c>
      <c r="K162" s="217">
        <f t="shared" si="162"/>
        <v>1412.5</v>
      </c>
      <c r="L162" s="34">
        <f t="shared" si="155"/>
        <v>2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1459.1125</v>
      </c>
      <c r="N162" s="57">
        <v>0</v>
      </c>
      <c r="O162" s="57">
        <v>0</v>
      </c>
      <c r="P162" s="61">
        <f t="shared" si="156"/>
        <v>2</v>
      </c>
      <c r="Q162" s="40">
        <f t="shared" si="163"/>
        <v>0</v>
      </c>
      <c r="R162" s="40">
        <f t="shared" si="164"/>
        <v>0</v>
      </c>
      <c r="S162" s="44">
        <f t="shared" si="165"/>
        <v>2918.2249999999999</v>
      </c>
      <c r="T162" s="35">
        <f t="shared" si="166"/>
        <v>2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1546.6592499999999</v>
      </c>
      <c r="V162" s="57">
        <v>0</v>
      </c>
      <c r="W162" s="57">
        <v>0</v>
      </c>
      <c r="X162" s="61">
        <f t="shared" si="157"/>
        <v>2</v>
      </c>
      <c r="Y162" s="40">
        <f t="shared" si="167"/>
        <v>0</v>
      </c>
      <c r="Z162" s="40">
        <f t="shared" si="168"/>
        <v>0</v>
      </c>
      <c r="AA162" s="44">
        <f t="shared" si="169"/>
        <v>3093.3184999999999</v>
      </c>
      <c r="AB162" s="35">
        <f t="shared" si="170"/>
        <v>2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1637.9121457499998</v>
      </c>
      <c r="AD162" s="57">
        <v>0</v>
      </c>
      <c r="AE162" s="57">
        <v>0</v>
      </c>
      <c r="AF162" s="61">
        <f t="shared" si="158"/>
        <v>2</v>
      </c>
      <c r="AG162" s="40">
        <f t="shared" si="171"/>
        <v>0</v>
      </c>
      <c r="AH162" s="40">
        <f t="shared" si="172"/>
        <v>0</v>
      </c>
      <c r="AI162" s="44">
        <f t="shared" si="173"/>
        <v>3275.8242914999996</v>
      </c>
      <c r="AJ162" s="35">
        <f t="shared" si="159"/>
        <v>2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1731.2731380577497</v>
      </c>
      <c r="AL162" s="57">
        <v>0</v>
      </c>
      <c r="AM162" s="57">
        <v>0</v>
      </c>
      <c r="AN162" s="61">
        <f t="shared" si="160"/>
        <v>2</v>
      </c>
      <c r="AO162" s="40">
        <f t="shared" si="174"/>
        <v>0</v>
      </c>
      <c r="AP162" s="40">
        <f t="shared" si="175"/>
        <v>0</v>
      </c>
      <c r="AQ162" s="44">
        <f t="shared" si="176"/>
        <v>3462.5462761154995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>
        <v>0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319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152596</v>
      </c>
      <c r="K168" s="41">
        <f>IFERROR(J168/I168,"")</f>
        <v>478.35736677115989</v>
      </c>
      <c r="L168" s="41">
        <f>SUM(L148:L167)</f>
        <v>319</v>
      </c>
      <c r="M168" s="41">
        <f>IFERROR(S168/P168,0)</f>
        <v>467.50075716958816</v>
      </c>
      <c r="N168" s="41">
        <f t="shared" ref="N168:T168" si="177">SUM(N148:N167)</f>
        <v>75</v>
      </c>
      <c r="O168" s="41">
        <f t="shared" si="177"/>
        <v>0</v>
      </c>
      <c r="P168" s="41">
        <f t="shared" si="177"/>
        <v>394</v>
      </c>
      <c r="Q168" s="41">
        <f t="shared" si="177"/>
        <v>20932.352013626303</v>
      </c>
      <c r="R168" s="41">
        <f t="shared" si="177"/>
        <v>0</v>
      </c>
      <c r="S168" s="45">
        <f t="shared" si="177"/>
        <v>184195.29832481773</v>
      </c>
      <c r="T168" s="41">
        <f t="shared" si="177"/>
        <v>394</v>
      </c>
      <c r="U168" s="41">
        <f>IFERROR(AA168/X168,0)</f>
        <v>499.61393061416652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394</v>
      </c>
      <c r="Y168" s="41">
        <f t="shared" si="178"/>
        <v>0</v>
      </c>
      <c r="Z168" s="41">
        <f t="shared" si="178"/>
        <v>0</v>
      </c>
      <c r="AA168" s="45">
        <f t="shared" si="178"/>
        <v>196847.88866198162</v>
      </c>
      <c r="AB168" s="41">
        <f t="shared" si="178"/>
        <v>394</v>
      </c>
      <c r="AC168" s="41">
        <f>IFERROR(AI168/AF168,0)</f>
        <v>533.4388071887364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394</v>
      </c>
      <c r="AG168" s="41">
        <f t="shared" si="179"/>
        <v>0</v>
      </c>
      <c r="AH168" s="41">
        <f t="shared" si="179"/>
        <v>0</v>
      </c>
      <c r="AI168" s="45">
        <f t="shared" si="179"/>
        <v>210174.89003236213</v>
      </c>
      <c r="AJ168" s="41">
        <f t="shared" si="179"/>
        <v>394</v>
      </c>
      <c r="AK168" s="41">
        <f>IFERROR(AQ168/AN168,0)</f>
        <v>568.49257727393729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394</v>
      </c>
      <c r="AO168" s="41">
        <f t="shared" si="180"/>
        <v>0</v>
      </c>
      <c r="AP168" s="41">
        <f t="shared" si="180"/>
        <v>0</v>
      </c>
      <c r="AQ168" s="45">
        <f t="shared" si="180"/>
        <v>223986.07544593129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146513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153673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169447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182324.97200000001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-37682.298324817733</v>
      </c>
      <c r="T170" s="39"/>
      <c r="U170" s="39"/>
      <c r="V170" s="53"/>
      <c r="W170" s="53"/>
      <c r="X170" s="110"/>
      <c r="Y170" s="39"/>
      <c r="Z170" s="39"/>
      <c r="AA170" s="54">
        <f>AA169-AA168</f>
        <v>-43174.888661981618</v>
      </c>
      <c r="AB170" s="39"/>
      <c r="AC170" s="53"/>
      <c r="AD170" s="53"/>
      <c r="AE170" s="110"/>
      <c r="AF170" s="39"/>
      <c r="AG170" s="39"/>
      <c r="AH170" s="39"/>
      <c r="AI170" s="54">
        <f>AI169-AI168</f>
        <v>-40727.890032362135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-41661.10344593128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International Transfers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SanCmivJN9xHZOrRKRy0q/3CDoD2r0eR2aZ8nl2oEClMeJVEqMlmAB9DnquS4R8Mo02uswCLWAdUxNK9QLuGpg==" saltValue="UdfySHcFyUO8Ri8mJQY/Y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International Relations And Cooperation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6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42671.488787152775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NAT_HRBP__42671.4887871528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HRBP-Vote06.xlsx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schemas.microsoft.com/office/2006/documentManagement/types"/>
    <ds:schemaRef ds:uri="df7ca258-5e24-45de-bd31-dbc76bc6765a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2016-10-28T09:45:01Z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